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Y93TP60z8UUo/AkBuyAmWM6ozr1cckXhicm+AAgFoWuaYS30NaVmm9oJnXVg69mRiovwlDVLT1L98eN50dx4Ew==" workbookSaltValue="l620tgrnuhroy67wW8RXv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X11" i="17" s="1"/>
  <c r="Z11" i="16"/>
  <c r="W9" i="17"/>
  <c r="X9" i="17" s="1"/>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BG12" i="8"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R13" i="12"/>
  <c r="P19" i="19"/>
  <c r="BD11" i="13"/>
  <c r="BF17" i="8"/>
  <c r="EL19" i="8"/>
  <c r="AP12" i="11"/>
  <c r="EN19" i="8"/>
  <c r="F12" i="21"/>
  <c r="G10" i="3"/>
  <c r="G12" i="12"/>
  <c r="BA13" i="16"/>
  <c r="AP10" i="11"/>
  <c r="Y12" i="11"/>
  <c r="T10" i="21"/>
  <c r="ES19" i="8"/>
  <c r="G18" i="12"/>
  <c r="R8" i="9"/>
  <c r="X12" i="21" s="1"/>
  <c r="BM19" i="8"/>
  <c r="AL13" i="16"/>
  <c r="BH15" i="16"/>
  <c r="V11" i="16"/>
  <c r="BF17" i="11"/>
  <c r="BF16" i="11"/>
  <c r="S17" i="16"/>
  <c r="BL12" i="11"/>
  <c r="S13" i="16"/>
  <c r="V12" i="21"/>
  <c r="P13" i="16"/>
  <c r="AM13" i="20"/>
  <c r="Z13" i="17"/>
  <c r="T13" i="12"/>
  <c r="BK15" i="11"/>
  <c r="S9" i="17"/>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D15" i="8"/>
  <c r="AA10" i="16"/>
  <c r="S15" i="17"/>
  <c r="E13"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AV18" i="21" l="1"/>
  <c r="B17" i="6"/>
  <c r="BD17" i="8"/>
  <c r="BM18" i="16"/>
  <c r="L19" i="8"/>
  <c r="BF15" i="8"/>
  <c r="J15" i="7" s="1"/>
  <c r="E18" i="12"/>
  <c r="F13" i="7"/>
  <c r="BF11" i="8"/>
  <c r="J11" i="7" s="1"/>
  <c r="AC10" i="11"/>
  <c r="Q19" i="8"/>
  <c r="H13" i="12"/>
  <c r="BG10" i="8"/>
  <c r="K10" i="7" s="1"/>
  <c r="BA13" i="8"/>
  <c r="B13" i="7"/>
  <c r="S19" i="8"/>
  <c r="AE19" i="8"/>
  <c r="BD9" i="8"/>
  <c r="BF9" i="8"/>
  <c r="BG9" i="8"/>
  <c r="J10" i="2"/>
  <c r="M18" i="2"/>
  <c r="AO9" i="11"/>
  <c r="AN12" i="11"/>
  <c r="D10" i="6"/>
  <c r="K9" i="7"/>
  <c r="E9" i="6"/>
  <c r="C11" i="6"/>
  <c r="AO17" i="11"/>
  <c r="AO15" i="11"/>
  <c r="AL16" i="11"/>
  <c r="BJ17" i="11"/>
  <c r="BH9" i="16"/>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BK11" i="11"/>
  <c r="BK9" i="11"/>
  <c r="BF10" i="11"/>
  <c r="BK12" i="11"/>
  <c r="BL17" i="11"/>
  <c r="Q17" i="20"/>
  <c r="Q18" i="20" s="1"/>
  <c r="BH15" i="11"/>
  <c r="V15" i="11"/>
  <c r="AP16" i="20"/>
  <c r="F15" i="16"/>
  <c r="BL15" i="16" s="1"/>
  <c r="BE12" i="21"/>
  <c r="BE13" i="21" s="1"/>
  <c r="BE19" i="21" s="1"/>
  <c r="BE9" i="13"/>
  <c r="AL9" i="11"/>
  <c r="E11" i="6"/>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BJ18" i="11"/>
  <c r="C13" i="5"/>
  <c r="BG16" i="8"/>
  <c r="BD16" i="8"/>
  <c r="H16" i="7" s="1"/>
  <c r="F12" i="2"/>
  <c r="AO12" i="11"/>
  <c r="L12" i="14"/>
  <c r="I12" i="7"/>
  <c r="C12" i="6"/>
  <c r="I12" i="12" s="1"/>
  <c r="B12" i="6"/>
  <c r="AO12" i="17"/>
  <c r="L10" i="14"/>
  <c r="B10" i="6"/>
  <c r="T18" i="12"/>
  <c r="AJ19" i="8"/>
  <c r="AL19" i="8"/>
  <c r="G17" i="3"/>
  <c r="G15" i="3"/>
  <c r="G13" i="2"/>
  <c r="K12" i="7"/>
  <c r="S19" i="16"/>
  <c r="AM12" i="11"/>
  <c r="E13" i="2"/>
  <c r="F13" i="2" s="1"/>
  <c r="F10" i="2"/>
  <c r="AN10" i="11"/>
  <c r="D16" i="6"/>
  <c r="E12" i="3"/>
  <c r="E16" i="3"/>
  <c r="AL10" i="11"/>
  <c r="H18" i="3"/>
  <c r="I18" i="3" s="1"/>
  <c r="AH19" i="8"/>
  <c r="H10" i="2"/>
  <c r="W13" i="17"/>
  <c r="X13" i="17" s="1"/>
  <c r="AG13" i="16"/>
  <c r="I17" i="3"/>
  <c r="E17" i="3"/>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I11" i="12" l="1"/>
  <c r="K10" i="12"/>
  <c r="K9"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F21" i="16"/>
  <c r="E19" i="6"/>
  <c r="C19" i="6"/>
  <c r="AO19" i="11"/>
  <c r="AM19" i="11"/>
  <c r="B19" i="6"/>
  <c r="AL19" i="11"/>
  <c r="BL18" i="16"/>
  <c r="F19" i="16"/>
  <c r="E21" i="21"/>
  <c r="E19" i="21"/>
  <c r="AW21" i="20"/>
  <c r="AS21" i="20"/>
  <c r="AR21" i="20" s="1"/>
  <c r="AV21" i="11"/>
  <c r="C19" i="14"/>
  <c r="BF19" i="8"/>
  <c r="AQ19" i="17"/>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<sst xmlns="http://schemas.openxmlformats.org/spreadsheetml/2006/main" count="2080" uniqueCount="913">
  <si>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</si>
  <si>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</si>
  <si>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</si>
  <si>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</si>
  <si>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</si>
  <si>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</si>
  <si>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</si>
  <si>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</si>
  <si>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</si>
  <si>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</si>
  <si>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</si>
  <si>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</si>
  <si>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</si>
  <si>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</si>
  <si>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</si>
  <si>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</si>
  <si>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</si>
  <si>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</si>
  <si>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</si>
  <si>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</si>
  <si>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</si>
  <si>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</si>
  <si>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</si>
  <si>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</si>
  <si>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</si>
  <si>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</si>
  <si>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</si>
  <si>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</si>
  <si>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</si>
  <si>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</si>
  <si>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</si>
  <si>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</si>
  <si>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</si>
  <si>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</si>
  <si>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</si>
  <si>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</si>
  <si>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</si>
  <si>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</si>
  <si>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</si>
  <si>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</si>
  <si>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</si>
  <si>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</si>
  <si>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</si>
  <si>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</si>
  <si>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</si>
  <si>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</si>
  <si>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</si>
  <si>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</si>
  <si>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</si>
  <si>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</si>
  <si>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</si>
  <si>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</si>
  <si>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</si>
  <si>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</si>
  <si>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</si>
  <si>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</si>
  <si>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</si>
  <si>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</si>
  <si>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</si>
  <si>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</si>
  <si>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</si>
  <si>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</si>
  <si>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</si>
  <si>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</si>
  <si>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</si>
  <si>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</si>
  <si>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</si>
  <si>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</si>
  <si>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</si>
  <si>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</si>
  <si>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</si>
  <si>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</si>
  <si>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</si>
  <si>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</si>
  <si>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</si>
  <si>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</si>
  <si>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</si>
  <si>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</si>
  <si>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</si>
  <si>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</si>
  <si>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</si>
  <si>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</si>
  <si>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</si>
  <si>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</si>
  <si>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</si>
  <si>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</si>
  <si>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</si>
  <si>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</si>
  <si>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</si>
  <si>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</si>
  <si>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</si>
  <si>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</si>
  <si>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</si>
  <si>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</si>
  <si>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</si>
  <si>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</si>
  <si>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</si>
  <si>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</si>
  <si>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</si>
  <si>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</si>
  <si>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</si>
  <si>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</si>
  <si>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</si>
  <si>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</si>
  <si>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</si>
  <si>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</si>
  <si>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</si>
  <si>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</si>
  <si>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</si>
  <si>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</si>
  <si>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</si>
  <si>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</si>
  <si>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</si>
  <si>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</si>
  <si>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</si>
  <si>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</si>
  <si>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</si>
  <si>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</si>
  <si>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</si>
  <si>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</si>
  <si>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</si>
  <si>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</si>
  <si>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</si>
  <si>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</si>
  <si>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</si>
  <si>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</si>
  <si>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</si>
  <si>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</si>
  <si>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</si>
  <si>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</si>
  <si>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</si>
  <si>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</si>
  <si>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</si>
  <si>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</si>
  <si>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</si>
  <si>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</si>
  <si>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</si>
  <si>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</si>
  <si>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</si>
  <si>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</si>
  <si>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</si>
  <si>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</si>
  <si>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</si>
  <si>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</si>
  <si>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</si>
  <si>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</si>
  <si>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</si>
  <si>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</si>
  <si>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</si>
  <si>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</si>
  <si>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</si>
  <si>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</si>
  <si>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</si>
  <si>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</si>
  <si>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</si>
  <si>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</si>
  <si>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</si>
  <si>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</si>
  <si>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</si>
  <si>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</si>
  <si>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</si>
  <si>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</si>
  <si>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</si>
  <si>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</si>
  <si>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</si>
  <si>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</si>
  <si>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</si>
  <si>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</si>
  <si>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</si>
  <si>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</si>
  <si>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</si>
  <si>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</si>
  <si>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</si>
  <si>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</si>
  <si>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</si>
  <si>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</si>
  <si>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</si>
  <si>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</si>
  <si>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</si>
  <si>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</si>
  <si>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</si>
  <si>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</si>
  <si>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</si>
  <si>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</si>
  <si>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</si>
  <si>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</si>
  <si>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</si>
  <si>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</si>
  <si>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</si>
  <si>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</si>
  <si>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</si>
  <si>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</si>
  <si>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</si>
  <si>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</si>
  <si>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</si>
  <si>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</si>
  <si>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</si>
  <si>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</si>
  <si>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</si>
  <si>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</si>
  <si>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</si>
  <si>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</si>
  <si>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</si>
  <si>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</si>
  <si>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</si>
  <si>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</si>
  <si>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</si>
  <si>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</si>
  <si>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</si>
  <si>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</si>
  <si>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</si>
  <si>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</si>
  <si>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</si>
  <si>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</si>
  <si>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</si>
  <si>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</si>
  <si>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</si>
  <si>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</si>
  <si>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</si>
  <si>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</si>
  <si>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</si>
  <si>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</si>
  <si>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</si>
  <si>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</si>
  <si>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</si>
  <si>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</si>
  <si>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</si>
  <si>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</si>
  <si>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</si>
  <si>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</si>
  <si>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</si>
  <si>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</si>
  <si>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</si>
  <si>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</si>
  <si>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</si>
  <si>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</si>
  <si>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</si>
  <si>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</si>
  <si>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</si>
  <si>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</si>
  <si>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</si>
  <si>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</si>
  <si>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</si>
  <si>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</si>
  <si>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</si>
  <si>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</si>
  <si>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</si>
  <si>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</si>
  <si>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</si>
  <si>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</si>
  <si>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</si>
  <si>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</si>
  <si>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</si>
  <si>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</si>
  <si>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</si>
  <si>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</si>
  <si>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</si>
  <si>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</si>
  <si>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</si>
  <si>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</si>
  <si>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</si>
  <si>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</si>
  <si>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</si>
  <si>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</si>
  <si>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</si>
  <si>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</si>
  <si>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</si>
  <si>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</si>
  <si>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</si>
  <si>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</si>
  <si>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</si>
  <si>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</si>
  <si>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</si>
  <si>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</si>
  <si>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</si>
  <si>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</si>
  <si>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</si>
  <si>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</si>
  <si>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</si>
  <si>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</si>
  <si>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</si>
  <si>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</si>
  <si>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</si>
  <si>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</si>
  <si>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</si>
  <si>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</si>
  <si>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</si>
  <si>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</si>
  <si>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</si>
  <si>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</si>
  <si>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</si>
  <si>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</si>
  <si>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</si>
  <si>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</si>
  <si>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</si>
  <si>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</si>
  <si>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</si>
  <si>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</si>
  <si>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</si>
  <si>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</si>
  <si>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</si>
  <si>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</si>
  <si>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</si>
  <si>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</si>
  <si>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</si>
  <si>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</si>
  <si>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</si>
  <si>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</si>
  <si>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</si>
  <si>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</si>
  <si>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</si>
  <si>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</si>
  <si>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</si>
  <si>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</si>
  <si>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</si>
  <si>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</si>
  <si>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</si>
  <si>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</si>
  <si>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</si>
  <si>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</si>
  <si>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</si>
  <si>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</si>
  <si>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</si>
  <si>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</si>
  <si>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</si>
  <si>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</si>
  <si>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</si>
  <si>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</si>
  <si>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</si>
  <si>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</si>
  <si>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</si>
  <si>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</si>
  <si>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</si>
  <si>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</si>
  <si>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</si>
  <si>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</si>
  <si>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</si>
  <si>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</si>
  <si>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</si>
  <si>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</si>
  <si>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</si>
  <si>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</si>
  <si>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</si>
  <si>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</si>
  <si>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</si>
  <si>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</si>
  <si>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</si>
  <si>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</si>
  <si>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</si>
  <si>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</si>
  <si>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</si>
  <si>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</si>
  <si>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</si>
  <si>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</si>
  <si>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</si>
  <si>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</si>
  <si>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</si>
  <si>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</si>
  <si>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</si>
  <si>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</si>
  <si>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</si>
  <si>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</si>
  <si>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</si>
  <si>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</si>
  <si>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</si>
  <si>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</si>
  <si>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</si>
  <si>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</si>
  <si>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</si>
  <si>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</si>
  <si>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</si>
  <si>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</si>
  <si>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</si>
  <si>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</si>
  <si>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</si>
  <si>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</si>
  <si>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</si>
  <si>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</si>
  <si>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</si>
  <si>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</si>
  <si>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</si>
  <si>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</si>
  <si>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</si>
  <si>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</si>
  <si>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</si>
  <si>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</si>
  <si>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</si>
  <si>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</si>
  <si>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</si>
  <si>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</si>
  <si>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</si>
  <si>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</si>
  <si>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</si>
  <si>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</si>
  <si>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</si>
  <si>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</si>
  <si>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</si>
  <si>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</si>
  <si>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</si>
  <si>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</si>
  <si>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</si>
  <si>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</si>
  <si>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</si>
  <si>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</si>
  <si>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</si>
  <si>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</si>
  <si>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</si>
  <si>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</si>
  <si>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</si>
  <si>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</si>
  <si>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</si>
  <si>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</si>
  <si>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</si>
  <si>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</si>
  <si>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</si>
  <si>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</si>
  <si>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</si>
  <si>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</si>
  <si>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</si>
  <si>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</si>
  <si>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</si>
  <si>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</si>
  <si>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</si>
  <si>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</si>
  <si>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</si>
  <si>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</si>
  <si>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</si>
  <si>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</si>
  <si>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</si>
  <si>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</si>
  <si>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</si>
  <si>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</si>
  <si>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</si>
  <si>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</si>
  <si>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</si>
  <si>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</si>
  <si>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</si>
  <si>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</si>
  <si>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</si>
  <si>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</si>
  <si>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</si>
  <si>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</si>
  <si>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</si>
  <si>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</si>
  <si>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</si>
  <si>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</si>
  <si>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</si>
  <si>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</si>
  <si>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</si>
  <si>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</si>
  <si>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</si>
  <si>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</si>
  <si>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</si>
  <si>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</si>
  <si>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</si>
  <si>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</si>
  <si>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</si>
  <si>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</si>
  <si>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</si>
  <si>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</si>
  <si>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</si>
  <si>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</si>
  <si>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</si>
  <si>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</si>
  <si>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</si>
  <si>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</si>
  <si>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</si>
  <si>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</si>
  <si>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</si>
  <si>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</si>
  <si>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</si>
  <si>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</si>
  <si>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</si>
  <si>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</si>
  <si>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</si>
  <si>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</si>
  <si>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</si>
  <si>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</si>
  <si>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</si>
  <si>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</si>
  <si>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</si>
  <si>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</si>
  <si>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</si>
  <si>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</si>
  <si>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</si>
  <si>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</si>
  <si>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</si>
  <si>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</si>
  <si>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</si>
  <si>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</si>
  <si>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</si>
  <si>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</si>
  <si>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</si>
  <si>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</si>
  <si>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</si>
  <si>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</si>
  <si>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</si>
  <si>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</si>
  <si>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</si>
  <si>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</si>
  <si>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</si>
  <si>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</si>
  <si>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</si>
  <si>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</si>
  <si>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</si>
  <si>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</si>
  <si>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</si>
  <si>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</si>
  <si>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</si>
  <si>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</si>
  <si>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</si>
  <si>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</si>
  <si>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</si>
  <si>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</si>
  <si>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</si>
  <si>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</si>
  <si>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</si>
  <si>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</si>
  <si>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</si>
  <si>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</si>
  <si>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</si>
  <si>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</si>
  <si>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</si>
  <si>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</si>
  <si>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</si>
  <si>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</si>
  <si>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</si>
  <si>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</si>
  <si>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</si>
  <si>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</si>
  <si>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</si>
  <si>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</si>
  <si>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</si>
  <si>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</si>
  <si>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</si>
  <si>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</si>
  <si>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</si>
  <si>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</si>
  <si>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</si>
  <si>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</si>
  <si>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</si>
  <si>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</si>
  <si>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</si>
  <si>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</si>
  <si>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</si>
  <si>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</si>
  <si>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</si>
  <si>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</si>
  <si>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</si>
  <si>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</si>
  <si>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</si>
  <si>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</si>
  <si>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</si>
  <si>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</si>
  <si>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</si>
  <si>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</si>
  <si>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</si>
  <si>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</si>
  <si>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</si>
  <si>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</si>
  <si>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</si>
  <si>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</si>
  <si>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</si>
  <si>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</si>
  <si>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</si>
  <si>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</si>
  <si>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</si>
  <si>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</si>
  <si>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</si>
  <si>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</si>
  <si>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</si>
  <si>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</si>
  <si>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</si>
  <si>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</si>
  <si>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</si>
  <si>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</si>
  <si>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</si>
  <si>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</si>
  <si>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</si>
  <si>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</si>
  <si>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</si>
  <si>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</si>
  <si>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</si>
  <si>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</si>
  <si>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</si>
  <si>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</si>
  <si>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</si>
  <si>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</si>
  <si>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</si>
  <si>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</si>
  <si>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</si>
  <si>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</si>
  <si>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</si>
  <si>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</si>
  <si>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</si>
  <si>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</si>
  <si>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</si>
  <si>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</si>
  <si>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</si>
  <si>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</si>
  <si>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</si>
  <si>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</si>
  <si>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</si>
  <si>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</si>
  <si>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</si>
  <si>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</si>
  <si>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</si>
  <si>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</si>
  <si>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</si>
  <si>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</si>
  <si>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</si>
  <si>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</si>
  <si>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</si>
  <si>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</si>
  <si>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</si>
  <si>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</si>
  <si>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</si>
  <si>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</si>
  <si>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</si>
  <si>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</si>
  <si>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</si>
  <si>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</si>
  <si>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</si>
  <si>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</si>
  <si>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</si>
  <si>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</si>
  <si>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</si>
  <si>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</si>
  <si>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</si>
  <si>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</si>
  <si>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</si>
  <si>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</si>
  <si>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</si>
  <si>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</si>
  <si>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</si>
  <si>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</si>
  <si>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</si>
  <si>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</si>
  <si>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</si>
  <si>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</si>
  <si>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</si>
  <si>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</si>
  <si>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</si>
  <si>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</si>
  <si>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</si>
  <si>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</si>
  <si>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</si>
  <si>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</si>
  <si>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</si>
  <si>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</si>
  <si>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</si>
  <si>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</si>
  <si>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</si>
  <si>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</si>
  <si>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</si>
  <si>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</si>
  <si>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</si>
  <si>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</si>
  <si>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</si>
  <si>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</si>
  <si>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</si>
  <si>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</si>
  <si>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</si>
  <si>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</si>
  <si>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</si>
  <si>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</si>
  <si>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</si>
  <si>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</si>
  <si>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</si>
  <si>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</si>
  <si>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</si>
  <si>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</si>
  <si>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</si>
  <si>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</si>
  <si>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</si>
  <si>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</si>
  <si>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</si>
  <si>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</si>
  <si>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</si>
  <si>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</si>
  <si>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</si>
  <si>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</si>
  <si>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</si>
  <si>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</si>
  <si>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</si>
  <si>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</si>
  <si>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</si>
  <si>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</si>
  <si>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</si>
  <si>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</si>
  <si>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</si>
  <si>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</si>
  <si>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</si>
  <si>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</si>
  <si>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</si>
  <si>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</si>
  <si>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</si>
  <si>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</si>
  <si>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</si>
  <si>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</si>
  <si>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</si>
  <si>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</si>
  <si>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</si>
  <si>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</si>
  <si>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</si>
  <si>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</si>
  <si>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</si>
  <si>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</si>
  <si>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</si>
  <si>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</si>
  <si>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</si>
  <si>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</si>
  <si>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</si>
  <si>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</si>
  <si>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</si>
  <si>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</si>
  <si>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</si>
  <si>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</si>
  <si>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</si>
  <si>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</si>
  <si>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</si>
  <si>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</si>
  <si>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</si>
  <si>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</si>
  <si>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</si>
  <si>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</si>
  <si>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</si>
  <si>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</si>
  <si>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</si>
  <si>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</si>
  <si>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</si>
  <si>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</si>
  <si>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</si>
  <si>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</si>
  <si>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</si>
  <si>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</si>
  <si>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</si>
  <si>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</si>
  <si>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</si>
  <si>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</si>
  <si>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</si>
  <si>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</si>
  <si>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</si>
  <si>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</si>
  <si>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</si>
  <si>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</si>
  <si>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</si>
  <si>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</si>
  <si>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</si>
  <si>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</si>
  <si>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</si>
  <si>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</si>
  <si>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</si>
  <si>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</si>
  <si>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</si>
  <si>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</si>
  <si>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</si>
  <si>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</si>
  <si>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</si>
  <si>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</si>
  <si>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</si>
  <si>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</si>
  <si>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</si>
  <si>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</si>
  <si>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</si>
  <si>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</si>
  <si>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</si>
  <si>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</si>
  <si>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</si>
  <si>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</si>
  <si>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</si>
  <si>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</si>
  <si>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</si>
  <si>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</si>
  <si>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</si>
  <si>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</si>
  <si>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</si>
  <si>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</si>
  <si>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</si>
  <si>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</si>
  <si>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</si>
  <si>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</si>
  <si>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</si>
  <si>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</si>
  <si>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</si>
  <si>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</si>
  <si>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</si>
  <si>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</si>
  <si>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</si>
  <si>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</si>
  <si>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</si>
  <si>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</si>
  <si>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</si>
  <si>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</si>
  <si>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</si>
  <si>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</si>
  <si>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</si>
  <si>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</si>
  <si>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</si>
  <si>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</si>
  <si>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</si>
  <si>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</si>
  <si>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</si>
  <si>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</si>
  <si>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</si>
  <si>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</si>
  <si>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</si>
  <si>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</si>
  <si>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</si>
  <si>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</si>
  <si>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</si>
  <si>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</si>
  <si>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</si>
  <si>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</si>
  <si>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</si>
  <si>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</si>
  <si>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</si>
  <si>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</si>
  <si>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</si>
  <si>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</si>
  <si>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</si>
  <si>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</si>
  <si>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</si>
  <si>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</si>
  <si>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</si>
  <si>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</si>
  <si>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</si>
  <si>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</si>
  <si>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</si>
  <si>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</si>
  <si>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</si>
  <si>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</si>
  <si>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</si>
  <si>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</si>
  <si>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</si>
  <si>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</si>
  <si>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</si>
  <si>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</si>
  <si>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</si>
  <si>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</si>
  <si>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</si>
  <si>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</si>
  <si>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</si>
  <si>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</si>
  <si>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</si>
  <si>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</si>
  <si>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</si>
  <si>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</si>
  <si>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</si>
  <si>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</si>
  <si>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</si>
  <si>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</si>
  <si>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</si>
  <si>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</si>
  <si>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</si>
  <si>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</si>
  <si>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</si>
  <si>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</si>
  <si>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</si>
  <si>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</si>
  <si>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</si>
  <si>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</si>
  <si>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</si>
  <si>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</si>
  <si>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</si>
  <si>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</si>
  <si>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</si>
  <si>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</si>
  <si>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</si>
  <si>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</si>
  <si>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</si>
  <si>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</si>
  <si>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</si>
  <si>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</si>
  <si>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</si>
  <si>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</si>
  <si>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</si>
  <si>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</si>
  <si>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</si>
  <si>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</si>
  <si>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</si>
  <si>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</si>
  <si>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</si>
  <si>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</si>
  <si>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</si>
  <si>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</si>
  <si>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</si>
  <si>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</si>
  <si>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</si>
  <si>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</si>
  <si>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</si>
  <si>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</si>
  <si>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</si>
  <si>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</si>
  <si>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</si>
  <si>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</si>
  <si>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</si>
  <si>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</si>
  <si>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</si>
  <si>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</si>
  <si>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</si>
  <si>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</si>
  <si>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</si>
  <si>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</si>
  <si>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</si>
  <si>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</si>
  <si>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</si>
  <si>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</si>
  <si>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CATALUÑA</t>
  </si>
  <si>
    <t>Provincias</t>
  </si>
  <si>
    <t>BARCELONA</t>
  </si>
  <si>
    <t>Resumenes por Partidos Judiciales</t>
  </si>
  <si>
    <t>GRANOLLERS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</si>
</sst>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rS3mKDWuzvQREWRuNAyaqazmK08OrbpPGVVftZl7OjFJCFXzgwP7yumqV9A4dW9jk0eXVEn6599geEdoslZ7HQ==" saltValue="tJ4t0Mfqvm1mypOLoLJh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8</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f>IF(ISNUMBER(NºAsuntos!I9/NºAsuntos!G9),(NºAsuntos!I9/NºAsuntos!G9)*11," - ")</f>
        <v>36.418596237337191</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63</v>
      </c>
      <c r="D10" s="229">
        <f>IF(ISNUMBER(Datos!I10),Datos!I10," - ")</f>
        <v>63</v>
      </c>
      <c r="E10" s="230">
        <f>IF(ISNUMBER(Datos!J10),Datos!J10," - ")</f>
        <v>37</v>
      </c>
      <c r="F10" s="230">
        <f>IF(ISNUMBER(Datos!K10),Datos!K10," - ")</f>
        <v>22</v>
      </c>
      <c r="G10" s="1189" t="str">
        <f>IF(Datos!E10&lt;&gt;"",Datos!E10,Datos!D10)</f>
        <v>37</v>
      </c>
      <c r="H10" s="231">
        <f>IF(ISNUMBER(Datos!L10),Datos!L10," - ")</f>
        <v>78</v>
      </c>
      <c r="I10" s="1199" t="str">
        <f>IF(ISNUMBER(Datos!AS10/Datos!BM10),Datos!AS10/Datos!BM10," - ")</f>
        <v xml:space="preserve"> - </v>
      </c>
      <c r="J10" s="1200">
        <f>IF(ISNUMBER(Datos!BY10/Datos!CN10),Datos!BY10/Datos!CN10," - ")</f>
        <v>0</v>
      </c>
      <c r="K10" s="234">
        <f t="shared" ref="K10:K12" si="1">IF(ISNUMBER((E10-F10)/C10),(E10-F10)/C10," - ")</f>
        <v>0.23809523809523808</v>
      </c>
      <c r="L10" s="1201">
        <f>IF(ISNUMBER(NºAsuntos!I10/NºAsuntos!G10),(NºAsuntos!I10/NºAsuntos!G10)*11," - ")</f>
        <v>39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2</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f>IF(ISNUMBER(NºAsuntos!I11/NºAsuntos!G11),(NºAsuntos!I11/NºAsuntos!G11)*11," - ")</f>
        <v>24.62</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0</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t="str">
        <f>IF(ISNUMBER(NºAsuntos!I12/NºAsuntos!G12),(NºAsuntos!I12/NºAsuntos!G12)*11," - ")</f>
        <v xml:space="preserve"> - </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63</v>
      </c>
      <c r="D13" s="1206">
        <f>SUBTOTAL(9,D9:D12)</f>
        <v>63</v>
      </c>
      <c r="E13" s="1207">
        <f>SUBTOTAL(9,E9:E12)</f>
        <v>37</v>
      </c>
      <c r="F13" s="1208">
        <f>SUBTOTAL(9,F9:F12)</f>
        <v>22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4</v>
      </c>
      <c r="B15" s="1254" t="str">
        <f>Datos!A15</f>
        <v xml:space="preserve">Jdos. Instrucción                               </v>
      </c>
      <c r="C15" s="229">
        <f t="shared" ref="C15:C17" si="2">IF(ISNUMBER(H15-E15+F15),H15-E15+F15," - ")</f>
        <v>6453</v>
      </c>
      <c r="D15" s="229">
        <f>IF(ISNUMBER(IF(D_I="SI",Datos!I15,Datos!I15+Datos!AC15)),IF(D_I="SI",Datos!I15,Datos!I15+Datos!AC15)," - ")</f>
        <v>6440</v>
      </c>
      <c r="E15" s="230">
        <f>IF(ISNUMBER(IF(D_I="SI",Datos!J15,Datos!J15+Datos!AD15)),IF(D_I="SI",Datos!J15,Datos!J15+Datos!AD15)," - ")</f>
        <v>3823</v>
      </c>
      <c r="F15" s="230">
        <f>IF(ISNUMBER(IF(D_I="SI",Datos!K15,Datos!K15+Datos!AE15)),IF(D_I="SI",Datos!K15,Datos!K15+Datos!AE15)," - ")</f>
        <v>3637</v>
      </c>
      <c r="G15" s="1189" t="str">
        <f>IF(Datos!E15&lt;&gt;"",Datos!E15,Datos!D15)</f>
        <v>03</v>
      </c>
      <c r="H15" s="231">
        <f>IF(ISNUMBER(IF(D_I="SI",Datos!L15,Datos!L15+Datos!AF15)),IF(D_I="SI",Datos!L15,Datos!L15+Datos!AF15)," - ")</f>
        <v>6639</v>
      </c>
      <c r="I15" s="1199" t="str">
        <f>IF(ISNUMBER(Datos!AS15/Datos!BM15),Datos!AS15/Datos!BM15," - ")</f>
        <v xml:space="preserve"> - </v>
      </c>
      <c r="J15" s="1200">
        <f>IF(ISNUMBER(Datos!BY15/Datos!CN15),Datos!BY15/Datos!CN15," - ")</f>
        <v>0</v>
      </c>
      <c r="K15" s="234">
        <f t="shared" ref="K15:K17" si="3">IF(ISNUMBER((E15-F15)/C15),(E15-F15)/C15," - ")</f>
        <v>2.8823802882380289E-2</v>
      </c>
      <c r="L15" s="1201">
        <f>IF(ISNUMBER(NºAsuntos!I15/NºAsuntos!G15),(NºAsuntos!I15/NºAsuntos!G15)*11," - ")</f>
        <v>20.079461094308495</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0</v>
      </c>
      <c r="B16" s="1254" t="str">
        <f>Datos!A16</f>
        <v xml:space="preserve">Jdos. 1ª Instª. e Instr.                        </v>
      </c>
      <c r="C16" s="229" t="str">
        <f t="shared" si="2"/>
        <v xml:space="preserve"> - </v>
      </c>
      <c r="D16" s="229" t="str">
        <f>IF(ISNUMBER(IF(D_I="SI",Datos!I16,Datos!I16+Datos!AC16)),IF(D_I="SI",Datos!I16,Datos!I16+Datos!AC16)," - ")</f>
        <v xml:space="preserve"> - </v>
      </c>
      <c r="E16" s="230" t="str">
        <f>IF(ISNUMBER(IF(D_I="SI",Datos!J16,Datos!J16+Datos!AD16)),IF(D_I="SI",Datos!J16,Datos!J16+Datos!AD16)," - ")</f>
        <v xml:space="preserve"> - </v>
      </c>
      <c r="F16" s="230" t="str">
        <f>IF(ISNUMBER(IF(D_I="SI",Datos!K16,Datos!K16+Datos!AE16)),IF(D_I="SI",Datos!K16,Datos!K16+Datos!AE16)," - ")</f>
        <v xml:space="preserve"> - </v>
      </c>
      <c r="G16" s="1189" t="str">
        <f>IF(Datos!E16&lt;&gt;"",Datos!E16,Datos!D16)</f>
        <v>04</v>
      </c>
      <c r="H16" s="231" t="str">
        <f>IF(ISNUMBER(IF(D_I="SI",Datos!L16,Datos!L16+Datos!AF16)),IF(D_I="SI",Datos!L16,Datos!L16+Datos!AF16)," - ")</f>
        <v xml:space="preserve"> - </v>
      </c>
      <c r="I16" s="1199" t="str">
        <f>IF(ISNUMBER(Datos!AS16/Datos!BM16),Datos!AS16/Datos!BM16," - ")</f>
        <v xml:space="preserve"> - </v>
      </c>
      <c r="J16" s="1200">
        <f>IF(ISNUMBER(Datos!BY16/Datos!CN16),Datos!BY16/Datos!CN16," - ")</f>
        <v>0</v>
      </c>
      <c r="K16" s="234" t="str">
        <f t="shared" si="3"/>
        <v xml:space="preserve"> - </v>
      </c>
      <c r="L16" s="1201" t="str">
        <f>IF(ISNUMBER(NºAsuntos!I16/NºAsuntos!G16),(NºAsuntos!I16/NºAsuntos!G16)*11," - ")</f>
        <v xml:space="preserve"> - </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94</v>
      </c>
      <c r="D17" s="229">
        <f>IF(ISNUMBER(IF(D_I="SI",Datos!I17,Datos!I17+Datos!AC17)),IF(D_I="SI",Datos!I17,Datos!I17+Datos!AC17)," - ")</f>
        <v>94</v>
      </c>
      <c r="E17" s="230">
        <f>IF(ISNUMBER(IF(D_I="SI",Datos!J17,Datos!J17+Datos!AD17)),IF(D_I="SI",Datos!J17,Datos!J17+Datos!AD17)," - ")</f>
        <v>328</v>
      </c>
      <c r="F17" s="230">
        <f>IF(ISNUMBER(IF(D_I="SI",Datos!K17,Datos!K17+Datos!AE17)),IF(D_I="SI",Datos!K17,Datos!K17+Datos!AE17)," - ")</f>
        <v>291</v>
      </c>
      <c r="G17" s="1189" t="str">
        <f>IF(Datos!E17&lt;&gt;"",Datos!E17,Datos!D17)</f>
        <v>37</v>
      </c>
      <c r="H17" s="231">
        <f>IF(ISNUMBER(IF(D_I="SI",Datos!L17,Datos!L17+Datos!AF17)),IF(D_I="SI",Datos!L17,Datos!L17+Datos!AF17)," - ")</f>
        <v>131</v>
      </c>
      <c r="I17" s="1199" t="str">
        <f>IF(ISNUMBER(Datos!AS17/Datos!BM17),Datos!AS17/Datos!BM17," - ")</f>
        <v xml:space="preserve"> - </v>
      </c>
      <c r="J17" s="1200" t="str">
        <f>IF(ISNUMBER((Datos!BY17+Datos!BZ17)/Datos!CN17),(Datos!BY17+Datos!BZ17)/Datos!CN17," - ")</f>
        <v xml:space="preserve"> - </v>
      </c>
      <c r="K17" s="234">
        <f t="shared" si="3"/>
        <v>0.39361702127659576</v>
      </c>
      <c r="L17" s="1201">
        <f>IF(ISNUMBER(NºAsuntos!I17/NºAsuntos!G17),(NºAsuntos!I17/NºAsuntos!G17)*11," - ")</f>
        <v>4.9518900343642613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6547</v>
      </c>
      <c r="D18" s="1206">
        <f>SUBTOTAL(9,D15:D17)</f>
        <v>6534</v>
      </c>
      <c r="E18" s="1207">
        <f>SUBTOTAL(9,E15:E17)</f>
        <v>4151</v>
      </c>
      <c r="F18" s="1207">
        <f>SUBTOTAL(9,F15:F17)</f>
        <v>3928</v>
      </c>
      <c r="G18" s="1209" t="str">
        <f ca="1">INDIRECT(CONCATENATE("G",ROW()-1))</f>
        <v>37</v>
      </c>
      <c r="H18" s="1210">
        <f ca="1">SUMIF(G$14:G17,G18,H$14:H17)</f>
        <v>131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6610</v>
      </c>
      <c r="D19" s="1228">
        <f>SUBTOTAL(9,D9:D18)</f>
        <v>6597</v>
      </c>
      <c r="E19" s="1229">
        <f>SUBTOTAL(9,E9:E18)</f>
        <v>4188</v>
      </c>
      <c r="F19" s="1229">
        <f>SUBTOTAL(9,F9:F18)</f>
        <v>3950</v>
      </c>
      <c r="G19" s="1230"/>
      <c r="H19" s="1231">
        <f ca="1">SUMIF(B9:B18,"TOTAL",H9:H18)</f>
        <v>131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gd+4GdxpBQ+Ez8KHF3/fIBGgXh8JcH4aPg34X2Z9++ACs6wodUAcxa20oBHEQdBrw0fahWF/tW1WisJufuHaA==" saltValue="pQMI9B25DD0IrkHWghTWF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pa9upJ2yOJgIMsaqyvH2RylX6GO+0mzJtpQS6SFgRqbwdVYmCeLAs+I84umdxmwPYefCHm157hi/9m5mB2Jftw==" saltValue="115RZDD/3qLvmwlo4Tvo6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v>8425</v>
      </c>
      <c r="J9" s="185">
        <v>3280</v>
      </c>
      <c r="K9" s="185">
        <v>2671</v>
      </c>
      <c r="L9" s="185">
        <v>9048</v>
      </c>
      <c r="M9" s="185">
        <v>569</v>
      </c>
      <c r="N9" s="185">
        <v>1253</v>
      </c>
      <c r="O9" s="185">
        <v>1314</v>
      </c>
      <c r="P9" s="185">
        <v>840</v>
      </c>
      <c r="Q9" s="185">
        <v>1200</v>
      </c>
      <c r="R9" s="185">
        <v>13886</v>
      </c>
      <c r="S9" s="185">
        <v>8718</v>
      </c>
      <c r="T9" s="185">
        <v>2501</v>
      </c>
      <c r="U9" s="185">
        <v>2193</v>
      </c>
      <c r="V9" s="185">
        <v>9034</v>
      </c>
      <c r="W9" s="185">
        <v>532</v>
      </c>
      <c r="X9" s="192">
        <v>850</v>
      </c>
      <c r="Y9" s="195">
        <v>83</v>
      </c>
      <c r="Z9" s="185">
        <v>104</v>
      </c>
      <c r="AA9" s="185">
        <v>93</v>
      </c>
      <c r="AB9" s="185">
        <v>103</v>
      </c>
      <c r="AC9" s="185">
        <v>0</v>
      </c>
      <c r="AD9" s="185">
        <v>0</v>
      </c>
      <c r="AE9" s="185">
        <v>0</v>
      </c>
      <c r="AF9" s="192">
        <v>0</v>
      </c>
      <c r="AG9" s="195">
        <v>74</v>
      </c>
      <c r="AH9" s="185">
        <v>126</v>
      </c>
      <c r="AI9" s="185">
        <v>106</v>
      </c>
      <c r="AJ9" s="196">
        <v>94</v>
      </c>
      <c r="AK9" s="184">
        <v>0</v>
      </c>
      <c r="AL9" s="185">
        <v>0</v>
      </c>
      <c r="AM9" s="185">
        <v>0</v>
      </c>
      <c r="AN9" s="192">
        <v>0</v>
      </c>
      <c r="AO9" s="262">
        <v>8</v>
      </c>
      <c r="AP9" s="158">
        <v>8</v>
      </c>
      <c r="AQ9" s="158">
        <v>8</v>
      </c>
      <c r="AR9" s="197">
        <v>8</v>
      </c>
      <c r="AS9" s="347" t="s">
        <v>808</v>
      </c>
      <c r="AT9" s="199"/>
      <c r="AU9" s="198"/>
      <c r="AV9" s="199"/>
      <c r="AW9" s="198"/>
      <c r="AX9" s="199"/>
      <c r="AY9" s="124">
        <f>IF(ISNUMBER(IF(J_V="SI",S9,S9+AG9)),IF(J_V="SI",S9,S9+AG9)," - ")</f>
        <v>8792</v>
      </c>
      <c r="AZ9" s="124">
        <f>IF(ISNUMBER(IF(J_V="SI",T9,T9+AH9)),IF(J_V="SI",T9,T9+AH9)," - ")</f>
        <v>2627</v>
      </c>
      <c r="BA9" s="125">
        <f>IF(ISNUMBER(IF(J_V="SI",U9,U9+AI9)),IF(J_V="SI",U9,U9+AI9)," - ")</f>
        <v>2299</v>
      </c>
      <c r="BB9" s="125">
        <f>IF(ISNUMBER(IF(J_V="SI",V9,V9+AJ9)),IF(J_V="SI",V9,V9+AJ9)," - ")</f>
        <v>9128</v>
      </c>
      <c r="BC9" s="126">
        <f>IF(ISNUMBER(X9),X9," - ")</f>
        <v>850</v>
      </c>
      <c r="BD9" s="127">
        <f>IF(ISNUMBER(BA9/AZ9),BA9/AZ9," - ")</f>
        <v>0.87514274838218498</v>
      </c>
      <c r="BE9" s="128">
        <f>IF(ISNUMBER(BB9/BA9),BB9/BA9, " - ")</f>
        <v>3.9704219225750328</v>
      </c>
      <c r="BF9" s="128">
        <f>IF(ISNUMBER(BC9/BA9),BC9/BA9, " - ")</f>
        <v>0.36972596781209222</v>
      </c>
      <c r="BG9" s="200">
        <f>IF(ISNUMBER((AY9+AZ9)/BA9),(AY9+AZ9)/BA9," - ")</f>
        <v>4.9669421487603307</v>
      </c>
      <c r="BH9" s="158">
        <v>7</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63</v>
      </c>
      <c r="J10" s="185">
        <v>37</v>
      </c>
      <c r="K10" s="185">
        <v>22</v>
      </c>
      <c r="L10" s="185">
        <v>78</v>
      </c>
      <c r="M10" s="185">
        <v>11</v>
      </c>
      <c r="N10" s="185">
        <v>10</v>
      </c>
      <c r="O10" s="185">
        <v>5</v>
      </c>
      <c r="P10" s="185">
        <v>8</v>
      </c>
      <c r="Q10" s="185">
        <v>4</v>
      </c>
      <c r="R10" s="185">
        <v>96</v>
      </c>
      <c r="S10" s="185">
        <v>86</v>
      </c>
      <c r="T10" s="185">
        <v>29</v>
      </c>
      <c r="U10" s="185">
        <v>38</v>
      </c>
      <c r="V10" s="185">
        <v>77</v>
      </c>
      <c r="W10" s="185">
        <v>11</v>
      </c>
      <c r="X10" s="192">
        <v>24</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1</v>
      </c>
      <c r="AQ10" s="158">
        <v>1</v>
      </c>
      <c r="AR10" s="159">
        <v>1</v>
      </c>
      <c r="AS10" s="348" t="s">
        <v>802</v>
      </c>
      <c r="AT10" s="196"/>
      <c r="AU10" s="204"/>
      <c r="AV10" s="196"/>
      <c r="AW10" s="204"/>
      <c r="AX10" s="196"/>
      <c r="AY10" s="129">
        <f t="shared" ref="AY10:BC10" si="0">IF(ISNUMBER(S10),S10," - ")</f>
        <v>86</v>
      </c>
      <c r="AZ10" s="130">
        <f t="shared" si="0"/>
        <v>29</v>
      </c>
      <c r="BA10" s="130">
        <f t="shared" si="0"/>
        <v>38</v>
      </c>
      <c r="BB10" s="130">
        <f t="shared" si="0"/>
        <v>77</v>
      </c>
      <c r="BC10" s="126">
        <f t="shared" si="0"/>
        <v>11</v>
      </c>
      <c r="BD10" s="127">
        <f>IF(ISNUMBER(BA10/AZ10),BA10/AZ10," - ")</f>
        <v>1.3103448275862069</v>
      </c>
      <c r="BE10" s="128">
        <f>IF(ISNUMBER(BB10/BA10),BB10/BA10, " - ")</f>
        <v>2.0263157894736841</v>
      </c>
      <c r="BF10" s="128">
        <f>IF(ISNUMBER(BC10/BA10),BC10/BA10, " - ")</f>
        <v>0.28947368421052633</v>
      </c>
      <c r="BG10" s="200">
        <f>IF(ISNUMBER((AY10+AZ10)/BA10),(AY10+AZ10)/BA10," - ")</f>
        <v>3.0263157894736841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v>1113</v>
      </c>
      <c r="J11" s="187">
        <v>392</v>
      </c>
      <c r="K11" s="187">
        <v>335</v>
      </c>
      <c r="L11" s="187">
        <v>1170</v>
      </c>
      <c r="M11" s="187">
        <v>73</v>
      </c>
      <c r="N11" s="187">
        <v>293</v>
      </c>
      <c r="O11" s="185">
        <v>126</v>
      </c>
      <c r="P11" s="187">
        <v>60</v>
      </c>
      <c r="Q11" s="187">
        <v>126</v>
      </c>
      <c r="R11" s="187">
        <v>666</v>
      </c>
      <c r="S11" s="187">
        <v>1358</v>
      </c>
      <c r="T11" s="187">
        <v>376</v>
      </c>
      <c r="U11" s="187">
        <v>396</v>
      </c>
      <c r="V11" s="187">
        <v>1338</v>
      </c>
      <c r="W11" s="187">
        <v>176</v>
      </c>
      <c r="X11" s="193">
        <v>264</v>
      </c>
      <c r="Y11" s="195">
        <v>155</v>
      </c>
      <c r="Z11" s="185">
        <v>121</v>
      </c>
      <c r="AA11" s="185">
        <v>215</v>
      </c>
      <c r="AB11" s="185">
        <v>61</v>
      </c>
      <c r="AC11" s="187">
        <v>0</v>
      </c>
      <c r="AD11" s="187">
        <v>0</v>
      </c>
      <c r="AE11" s="187">
        <v>0</v>
      </c>
      <c r="AF11" s="193">
        <v>0</v>
      </c>
      <c r="AG11" s="206">
        <v>63</v>
      </c>
      <c r="AH11" s="187">
        <v>91</v>
      </c>
      <c r="AI11" s="187">
        <v>101</v>
      </c>
      <c r="AJ11" s="207">
        <v>151</v>
      </c>
      <c r="AK11" s="186">
        <v>0</v>
      </c>
      <c r="AL11" s="187">
        <v>0</v>
      </c>
      <c r="AM11" s="187">
        <v>0</v>
      </c>
      <c r="AN11" s="193">
        <v>0</v>
      </c>
      <c r="AO11" s="263">
        <v>2</v>
      </c>
      <c r="AP11" s="159">
        <v>2</v>
      </c>
      <c r="AQ11" s="159">
        <v>2</v>
      </c>
      <c r="AR11" s="158">
        <v>2</v>
      </c>
      <c r="AS11" s="349" t="s">
        <v>810</v>
      </c>
      <c r="AT11" s="207"/>
      <c r="AU11" s="206"/>
      <c r="AV11" s="207"/>
      <c r="AW11" s="206"/>
      <c r="AX11" s="207"/>
      <c r="AY11" s="127">
        <f t="shared" ref="AY11:BB12" si="1">IF(ISNUMBER(IF(J_V="SI",S11,S11+AG11)),IF(J_V="SI",S11,S11+AG11)," - ")</f>
        <v>1421</v>
      </c>
      <c r="AZ11" s="128">
        <f t="shared" si="1"/>
        <v>467</v>
      </c>
      <c r="BA11" s="128">
        <f t="shared" si="1"/>
        <v>497</v>
      </c>
      <c r="BB11" s="128">
        <f t="shared" si="1"/>
        <v>1489</v>
      </c>
      <c r="BC11" s="126">
        <f>IF(ISNUMBER(X11),X11," - ")</f>
        <v>264</v>
      </c>
      <c r="BD11" s="127">
        <f t="shared" ref="BD11:BD12" si="2">IF(ISNUMBER(BA11/AZ11),BA11/AZ11," - ")</f>
        <v>1.0642398286937902</v>
      </c>
      <c r="BE11" s="128">
        <f t="shared" ref="BE11:BE12" si="3">IF(ISNUMBER(BB11/BA11),BB11/BA11, " - ")</f>
        <v>2.9959758551307849</v>
      </c>
      <c r="BF11" s="128">
        <f t="shared" ref="BF11:BF12" si="4">IF(ISNUMBER(BC11/BA11),BC11/BA11, " - ")</f>
        <v>0.53118712273641855</v>
      </c>
      <c r="BG11" s="200">
        <f t="shared" ref="BG11:BG12" si="5">IF(ISNUMBER((AY11+AZ11)/BA11),(AY11+AZ11)/BA11," - ")</f>
        <v>3.7987927565392354</v>
      </c>
      <c r="BH11" s="159">
        <v>2</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t="s">
        <v>817</v>
      </c>
      <c r="J12" s="187" t="s">
        <v>809</v>
      </c>
      <c r="K12" s="187" t="s">
        <v>863</v>
      </c>
      <c r="L12" s="187" t="s">
        <v>822</v>
      </c>
      <c r="M12" s="187" t="s">
        <v>494</v>
      </c>
      <c r="N12" s="187" t="s">
        <v>509</v>
      </c>
      <c r="O12" s="185" t="s">
        <v>227</v>
      </c>
      <c r="P12" s="187" t="s">
        <v>39</v>
      </c>
      <c r="Q12" s="187" t="s">
        <v>40</v>
      </c>
      <c r="R12" s="187" t="s">
        <v>91</v>
      </c>
      <c r="S12" s="187"/>
      <c r="T12" s="187"/>
      <c r="U12" s="187"/>
      <c r="V12" s="187"/>
      <c r="W12" s="187"/>
      <c r="X12" s="193"/>
      <c r="Y12" s="195" t="s">
        <v>134</v>
      </c>
      <c r="Z12" s="185" t="s">
        <v>135</v>
      </c>
      <c r="AA12" s="185" t="s">
        <v>136</v>
      </c>
      <c r="AB12" s="185" t="s">
        <v>137</v>
      </c>
      <c r="AC12" s="187"/>
      <c r="AD12" s="187"/>
      <c r="AE12" s="187"/>
      <c r="AF12" s="193"/>
      <c r="AG12" s="206"/>
      <c r="AH12" s="187"/>
      <c r="AI12" s="187"/>
      <c r="AJ12" s="207"/>
      <c r="AK12" s="186"/>
      <c r="AL12" s="187"/>
      <c r="AM12" s="187"/>
      <c r="AN12" s="193"/>
      <c r="AO12" s="263">
        <v>0</v>
      </c>
      <c r="AP12" s="159">
        <v>0</v>
      </c>
      <c r="AQ12" s="159">
        <v>0</v>
      </c>
      <c r="AR12" s="158">
        <v>0</v>
      </c>
      <c r="AS12" s="349" t="s">
        <v>811</v>
      </c>
      <c r="AT12" s="207"/>
      <c r="AU12" s="206"/>
      <c r="AV12" s="207"/>
      <c r="AW12" s="206"/>
      <c r="AX12" s="207"/>
      <c r="AY12" s="127">
        <f t="shared" si="1"/>
        <v>0</v>
      </c>
      <c r="AZ12" s="128">
        <f t="shared" si="1"/>
        <v>0</v>
      </c>
      <c r="BA12" s="128">
        <f t="shared" si="1"/>
        <v>0</v>
      </c>
      <c r="BB12" s="128">
        <f t="shared" si="1"/>
        <v>0</v>
      </c>
      <c r="BC12" s="126" t="str">
        <f>IF(ISNUMBER(X12),X12," - ")</f>
        <v xml:space="preserve"> - </v>
      </c>
      <c r="BD12" s="127" t="str">
        <f t="shared" si="2"/>
        <v xml:space="preserve"> - </v>
      </c>
      <c r="BE12" s="128" t="str">
        <f t="shared" si="3"/>
        <v xml:space="preserve"> - </v>
      </c>
      <c r="BF12" s="128" t="str">
        <f t="shared" si="4"/>
        <v xml:space="preserve"> - </v>
      </c>
      <c r="BG12" s="200" t="str">
        <f t="shared" si="5"/>
        <v xml:space="preserve"> - </v>
      </c>
      <c r="BH12" s="159">
        <v>0</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9601</v>
      </c>
      <c r="J13" s="188">
        <f t="shared" si="6"/>
        <v>3709</v>
      </c>
      <c r="K13" s="188">
        <f t="shared" si="6"/>
        <v>3028</v>
      </c>
      <c r="L13" s="188">
        <f t="shared" si="6"/>
        <v>10296</v>
      </c>
      <c r="M13" s="188">
        <f t="shared" si="6"/>
        <v>653</v>
      </c>
      <c r="N13" s="188">
        <f t="shared" si="6"/>
        <v>1556</v>
      </c>
      <c r="O13" s="188">
        <f t="shared" si="6"/>
        <v>1445</v>
      </c>
      <c r="P13" s="188">
        <f t="shared" si="6"/>
        <v>908</v>
      </c>
      <c r="Q13" s="188">
        <f t="shared" si="6"/>
        <v>1330</v>
      </c>
      <c r="R13" s="188">
        <f t="shared" si="6"/>
        <v>14648</v>
      </c>
      <c r="S13" s="188">
        <f t="shared" si="6"/>
        <v>10162</v>
      </c>
      <c r="T13" s="188">
        <f t="shared" si="6"/>
        <v>2906</v>
      </c>
      <c r="U13" s="188">
        <f t="shared" si="6"/>
        <v>2627</v>
      </c>
      <c r="V13" s="188">
        <f t="shared" si="6"/>
        <v>10449</v>
      </c>
      <c r="W13" s="188">
        <f t="shared" si="6"/>
        <v>719</v>
      </c>
      <c r="X13" s="188">
        <f t="shared" si="6"/>
        <v>1138</v>
      </c>
      <c r="Y13" s="188">
        <f t="shared" si="6"/>
        <v>238</v>
      </c>
      <c r="Z13" s="188">
        <f t="shared" si="6"/>
        <v>225</v>
      </c>
      <c r="AA13" s="188">
        <f t="shared" si="6"/>
        <v>308</v>
      </c>
      <c r="AB13" s="188">
        <f t="shared" si="6"/>
        <v>164</v>
      </c>
      <c r="AC13" s="188">
        <f t="shared" si="6"/>
        <v>0</v>
      </c>
      <c r="AD13" s="188">
        <f t="shared" si="6"/>
        <v>0</v>
      </c>
      <c r="AE13" s="188">
        <f t="shared" si="6"/>
        <v>0</v>
      </c>
      <c r="AF13" s="188">
        <f>SUBTOTAL(9,AF9:AF12)</f>
        <v>0</v>
      </c>
      <c r="AG13" s="188">
        <f t="shared" ref="AG13:AT13" si="7">SUBTOTAL(9,AG8:AG12)</f>
        <v>137</v>
      </c>
      <c r="AH13" s="188">
        <f t="shared" si="7"/>
        <v>217</v>
      </c>
      <c r="AI13" s="188">
        <f t="shared" si="7"/>
        <v>207</v>
      </c>
      <c r="AJ13" s="188">
        <f t="shared" si="7"/>
        <v>245</v>
      </c>
      <c r="AK13" s="188">
        <f t="shared" si="7"/>
        <v>0</v>
      </c>
      <c r="AL13" s="188">
        <f t="shared" si="7"/>
        <v>0</v>
      </c>
      <c r="AM13" s="188">
        <f t="shared" si="7"/>
        <v>0</v>
      </c>
      <c r="AN13" s="188">
        <f t="shared" si="7"/>
        <v>0</v>
      </c>
      <c r="AO13" s="188">
        <f t="shared" si="7"/>
        <v>11</v>
      </c>
      <c r="AP13" s="188">
        <f t="shared" si="7"/>
        <v>11</v>
      </c>
      <c r="AQ13" s="188">
        <f t="shared" si="7"/>
        <v>11</v>
      </c>
      <c r="AR13" s="188">
        <f t="shared" si="7"/>
        <v>11</v>
      </c>
      <c r="AS13" s="188">
        <f t="shared" si="7"/>
        <v>0</v>
      </c>
      <c r="AT13" s="188">
        <f t="shared" si="7"/>
        <v>0</v>
      </c>
      <c r="AU13" s="208"/>
      <c r="AV13" s="133"/>
      <c r="AW13" s="208"/>
      <c r="AX13" s="133"/>
      <c r="AY13" s="188">
        <f>SUBTOTAL(9,AY8:AY12)</f>
        <v>10299</v>
      </c>
      <c r="AZ13" s="188">
        <f>SUBTOTAL(9,AZ8:AZ12)</f>
        <v>3123</v>
      </c>
      <c r="BA13" s="188">
        <f>SUBTOTAL(9,BA8:BA12)</f>
        <v>2834</v>
      </c>
      <c r="BB13" s="188">
        <f>SUBTOTAL(9,BB8:BB12)</f>
        <v>10694</v>
      </c>
      <c r="BC13" s="188">
        <f>SUBTOTAL(9,BC8:BC12)</f>
        <v>1125</v>
      </c>
      <c r="BD13" s="209">
        <f>IF(ISNUMBER(BA13/AZ13),BA13/AZ13," - ")</f>
        <v>0.90746077489593335</v>
      </c>
      <c r="BE13" s="210">
        <f>IF(ISNUMBER(BB13/BA13),BB13/BA13, " - ")</f>
        <v>3.7734650670430487</v>
      </c>
      <c r="BF13" s="210">
        <f>IF(ISNUMBER(BC13/BA13),BC13/BA13, " - ")</f>
        <v>0.39696541990119971</v>
      </c>
      <c r="BG13" s="211">
        <f>IF(ISNUMBER((AY13+AZ13)/BA13),(AY13+AZ13)/BA13," - ")</f>
        <v>4.7360621030345804</v>
      </c>
      <c r="BH13" s="144">
        <f>SUBTOTAL(9,BH8:BH12)</f>
        <v>10</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v>6440</v>
      </c>
      <c r="J15" s="187">
        <v>3823</v>
      </c>
      <c r="K15" s="187">
        <v>3637</v>
      </c>
      <c r="L15" s="187">
        <v>6639</v>
      </c>
      <c r="M15" s="187">
        <v>342</v>
      </c>
      <c r="N15" s="187">
        <v>2363</v>
      </c>
      <c r="O15" s="185">
        <v>53</v>
      </c>
      <c r="P15" s="187">
        <v>24</v>
      </c>
      <c r="Q15" s="187">
        <v>55</v>
      </c>
      <c r="R15" s="187">
        <v>326</v>
      </c>
      <c r="S15" s="187">
        <v>5294</v>
      </c>
      <c r="T15" s="187">
        <v>3866</v>
      </c>
      <c r="U15" s="187">
        <v>3280</v>
      </c>
      <c r="V15" s="187">
        <v>5909</v>
      </c>
      <c r="W15" s="187">
        <v>287</v>
      </c>
      <c r="X15" s="193">
        <v>2093</v>
      </c>
      <c r="Y15" s="206">
        <v>0</v>
      </c>
      <c r="Z15" s="187">
        <v>0</v>
      </c>
      <c r="AA15" s="187">
        <v>0</v>
      </c>
      <c r="AB15" s="187">
        <v>0</v>
      </c>
      <c r="AC15" s="187">
        <v>0</v>
      </c>
      <c r="AD15" s="187">
        <v>159</v>
      </c>
      <c r="AE15" s="187">
        <v>159</v>
      </c>
      <c r="AF15" s="193">
        <v>0</v>
      </c>
      <c r="AG15" s="206">
        <v>0</v>
      </c>
      <c r="AH15" s="187">
        <v>0</v>
      </c>
      <c r="AI15" s="187">
        <v>0</v>
      </c>
      <c r="AJ15" s="207">
        <v>0</v>
      </c>
      <c r="AK15" s="186">
        <v>0</v>
      </c>
      <c r="AL15" s="187">
        <v>231</v>
      </c>
      <c r="AM15" s="187">
        <v>231</v>
      </c>
      <c r="AN15" s="193">
        <v>0</v>
      </c>
      <c r="AO15" s="263">
        <v>4</v>
      </c>
      <c r="AP15" s="159">
        <v>4</v>
      </c>
      <c r="AQ15" s="159">
        <v>4</v>
      </c>
      <c r="AR15" s="159">
        <v>4</v>
      </c>
      <c r="AS15" s="349" t="s">
        <v>531</v>
      </c>
      <c r="AT15" s="207" t="s">
        <v>329</v>
      </c>
      <c r="AU15" s="206"/>
      <c r="AV15" s="207"/>
      <c r="AW15" s="206"/>
      <c r="AX15" s="207"/>
      <c r="AY15" s="129">
        <f t="shared" ref="AY15:BB16" si="9">IF(ISNUMBER(IF(D_I="SI",S15,S15+AK15)),IF(D_I="SI",S15,S15+AK15)," - ")</f>
        <v>5294</v>
      </c>
      <c r="AZ15" s="130">
        <f t="shared" si="9"/>
        <v>3866</v>
      </c>
      <c r="BA15" s="130">
        <f t="shared" si="9"/>
        <v>3280</v>
      </c>
      <c r="BB15" s="130">
        <f t="shared" si="9"/>
        <v>5909</v>
      </c>
      <c r="BC15" s="126">
        <f>IF(ISNUMBER(W15),W15," - ")</f>
        <v>287</v>
      </c>
      <c r="BD15" s="127">
        <f>IF(ISNUMBER(BA15/AZ15),BA15/AZ15," - ")</f>
        <v>0.84842214174857733</v>
      </c>
      <c r="BE15" s="128">
        <f>IF(ISNUMBER(BB15/BA15),BB15/BA15, " - ")</f>
        <v>1.8015243902439024</v>
      </c>
      <c r="BF15" s="128">
        <f>IF(ISNUMBER(BC15/BA15),BC15/BA15, " - ")</f>
        <v>8.7499999999999994E-2</v>
      </c>
      <c r="BG15" s="200">
        <f t="shared" ref="BG15:BG16" si="10">IF(ISNUMBER((AY15+AZ15)/BA15),(AY15+AZ15)/BA15," - ")</f>
        <v>2.7926829268292681</v>
      </c>
      <c r="BH15" s="159">
        <v>4</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t="s">
        <v>492</v>
      </c>
      <c r="J16" s="187" t="s">
        <v>488</v>
      </c>
      <c r="K16" s="187" t="s">
        <v>489</v>
      </c>
      <c r="L16" s="187" t="s">
        <v>490</v>
      </c>
      <c r="M16" s="187" t="s">
        <v>495</v>
      </c>
      <c r="N16" s="187" t="s">
        <v>150</v>
      </c>
      <c r="O16" s="185" t="s">
        <v>228</v>
      </c>
      <c r="P16" s="187" t="s">
        <v>474</v>
      </c>
      <c r="Q16" s="187" t="s">
        <v>475</v>
      </c>
      <c r="R16" s="187" t="s">
        <v>476</v>
      </c>
      <c r="S16" s="187"/>
      <c r="T16" s="187"/>
      <c r="U16" s="187"/>
      <c r="V16" s="187"/>
      <c r="W16" s="187"/>
      <c r="X16" s="193"/>
      <c r="Y16" s="206"/>
      <c r="Z16" s="187"/>
      <c r="AA16" s="187"/>
      <c r="AB16" s="187"/>
      <c r="AC16" s="187" t="s">
        <v>44</v>
      </c>
      <c r="AD16" s="187" t="s">
        <v>48</v>
      </c>
      <c r="AE16" s="187" t="s">
        <v>49</v>
      </c>
      <c r="AF16" s="193" t="s">
        <v>50</v>
      </c>
      <c r="AG16" s="206"/>
      <c r="AH16" s="187"/>
      <c r="AI16" s="187"/>
      <c r="AJ16" s="207"/>
      <c r="AK16" s="186"/>
      <c r="AL16" s="187"/>
      <c r="AM16" s="187"/>
      <c r="AN16" s="193"/>
      <c r="AO16" s="263">
        <v>0</v>
      </c>
      <c r="AP16" s="159">
        <v>0</v>
      </c>
      <c r="AQ16" s="159">
        <v>0</v>
      </c>
      <c r="AR16" s="159">
        <v>0</v>
      </c>
      <c r="AS16" s="349" t="s">
        <v>491</v>
      </c>
      <c r="AT16" s="207"/>
      <c r="AU16" s="206"/>
      <c r="AV16" s="207"/>
      <c r="AW16" s="206"/>
      <c r="AX16" s="207"/>
      <c r="AY16" s="127" t="str">
        <f t="shared" si="9"/>
        <v xml:space="preserve"> - </v>
      </c>
      <c r="AZ16" s="128" t="str">
        <f t="shared" si="9"/>
        <v xml:space="preserve"> - </v>
      </c>
      <c r="BA16" s="128" t="str">
        <f t="shared" si="9"/>
        <v xml:space="preserve"> - </v>
      </c>
      <c r="BB16" s="128" t="str">
        <f t="shared" si="9"/>
        <v xml:space="preserve"> - </v>
      </c>
      <c r="BC16" s="126" t="str">
        <f>IF(ISNUMBER(W16),W16," - ")</f>
        <v xml:space="preserve"> - </v>
      </c>
      <c r="BD16" s="127" t="str">
        <f t="shared" ref="BD16" si="11">IF(ISNUMBER(BA16/AZ16),BA16/AZ16," - ")</f>
        <v xml:space="preserve"> - </v>
      </c>
      <c r="BE16" s="128" t="str">
        <f t="shared" ref="BE16" si="12">IF(ISNUMBER(BB16/BA16),BB16/BA16, " - ")</f>
        <v xml:space="preserve"> - </v>
      </c>
      <c r="BF16" s="128" t="str">
        <f t="shared" ref="BF16" si="13">IF(ISNUMBER(BC16/BA16),BC16/BA16, " - ")</f>
        <v xml:space="preserve"> - </v>
      </c>
      <c r="BG16" s="200" t="str">
        <f t="shared" si="10"/>
        <v xml:space="preserve"> - </v>
      </c>
      <c r="BH16" s="159">
        <v>0</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94</v>
      </c>
      <c r="J17" s="187">
        <v>328</v>
      </c>
      <c r="K17" s="187">
        <v>291</v>
      </c>
      <c r="L17" s="187">
        <v>131</v>
      </c>
      <c r="M17" s="187">
        <v>22</v>
      </c>
      <c r="N17" s="187">
        <v>184</v>
      </c>
      <c r="O17" s="187">
        <v>0</v>
      </c>
      <c r="P17" s="187">
        <v>0</v>
      </c>
      <c r="Q17" s="187">
        <v>1</v>
      </c>
      <c r="R17" s="187">
        <v>4</v>
      </c>
      <c r="S17" s="187">
        <v>330</v>
      </c>
      <c r="T17" s="187">
        <v>276</v>
      </c>
      <c r="U17" s="187">
        <v>275</v>
      </c>
      <c r="V17" s="187">
        <v>331</v>
      </c>
      <c r="W17" s="187">
        <v>25</v>
      </c>
      <c r="X17" s="193">
        <v>94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1</v>
      </c>
      <c r="AQ17" s="158">
        <v>1</v>
      </c>
      <c r="AR17" s="159">
        <v>1</v>
      </c>
      <c r="AS17" s="348" t="s">
        <v>801</v>
      </c>
      <c r="AT17" s="213"/>
      <c r="AU17" s="204"/>
      <c r="AV17" s="213"/>
      <c r="AW17" s="204"/>
      <c r="AX17" s="213"/>
      <c r="AY17" s="129">
        <f t="shared" ref="AY17:BB17" si="14">IF(ISNUMBER(S17),S17," - ")</f>
        <v>330</v>
      </c>
      <c r="AZ17" s="130">
        <f t="shared" si="14"/>
        <v>276</v>
      </c>
      <c r="BA17" s="130">
        <f t="shared" si="14"/>
        <v>275</v>
      </c>
      <c r="BB17" s="130">
        <f t="shared" si="14"/>
        <v>331</v>
      </c>
      <c r="BC17" s="126">
        <f>IF(ISNUMBER(W17),W17," - ")</f>
        <v>25</v>
      </c>
      <c r="BD17" s="127">
        <f>IF(ISNUMBER(BA17/AZ17),BA17/AZ17," - ")</f>
        <v>0.99637681159420288</v>
      </c>
      <c r="BE17" s="128">
        <f>IF(ISNUMBER(BB17/BA17),BB17/BA17, " - ")</f>
        <v>1.2036363636363636</v>
      </c>
      <c r="BF17" s="128">
        <f>IF(ISNUMBER(BC17/BA17),BC17/BA17, " - ")</f>
        <v>9.0909090909090912E-2</v>
      </c>
      <c r="BG17" s="200">
        <f>IF(ISNUMBER((AY17+AZ17)/BA17),(AY17+AZ17)/BA17," - ")</f>
        <v>2.2036363636363636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6534</v>
      </c>
      <c r="J18" s="188">
        <f t="shared" si="15"/>
        <v>4151</v>
      </c>
      <c r="K18" s="188">
        <f t="shared" si="15"/>
        <v>3928</v>
      </c>
      <c r="L18" s="188">
        <f t="shared" si="15"/>
        <v>6770</v>
      </c>
      <c r="M18" s="188">
        <f t="shared" si="15"/>
        <v>364</v>
      </c>
      <c r="N18" s="188">
        <f t="shared" si="15"/>
        <v>2547</v>
      </c>
      <c r="O18" s="188">
        <f t="shared" si="15"/>
        <v>53</v>
      </c>
      <c r="P18" s="188">
        <f t="shared" si="15"/>
        <v>24</v>
      </c>
      <c r="Q18" s="188">
        <f t="shared" si="15"/>
        <v>56</v>
      </c>
      <c r="R18" s="188">
        <f t="shared" si="15"/>
        <v>330</v>
      </c>
      <c r="S18" s="188">
        <f t="shared" si="15"/>
        <v>5624</v>
      </c>
      <c r="T18" s="188">
        <f t="shared" si="15"/>
        <v>4142</v>
      </c>
      <c r="U18" s="188">
        <f t="shared" si="15"/>
        <v>3555</v>
      </c>
      <c r="V18" s="188">
        <f t="shared" si="15"/>
        <v>6240</v>
      </c>
      <c r="W18" s="188">
        <f t="shared" si="15"/>
        <v>312</v>
      </c>
      <c r="X18" s="188">
        <f t="shared" si="15"/>
        <v>2187</v>
      </c>
      <c r="Y18" s="188">
        <f t="shared" si="15"/>
        <v>0</v>
      </c>
      <c r="Z18" s="188">
        <f t="shared" si="15"/>
        <v>0</v>
      </c>
      <c r="AA18" s="188">
        <f t="shared" si="15"/>
        <v>0</v>
      </c>
      <c r="AB18" s="188">
        <f t="shared" si="15"/>
        <v>0</v>
      </c>
      <c r="AC18" s="188">
        <f t="shared" si="15"/>
        <v>0</v>
      </c>
      <c r="AD18" s="188">
        <f t="shared" si="15"/>
        <v>159</v>
      </c>
      <c r="AE18" s="188">
        <f t="shared" si="15"/>
        <v>159</v>
      </c>
      <c r="AF18" s="188">
        <f t="shared" si="15"/>
        <v>0</v>
      </c>
      <c r="AG18" s="188">
        <f t="shared" si="15"/>
        <v>0</v>
      </c>
      <c r="AH18" s="188">
        <f t="shared" si="15"/>
        <v>0</v>
      </c>
      <c r="AI18" s="188">
        <f t="shared" si="15"/>
        <v>0</v>
      </c>
      <c r="AJ18" s="188">
        <f t="shared" si="15"/>
        <v>0</v>
      </c>
      <c r="AK18" s="188">
        <f t="shared" si="15"/>
        <v>0</v>
      </c>
      <c r="AL18" s="188">
        <f t="shared" si="15"/>
        <v>231</v>
      </c>
      <c r="AM18" s="188">
        <f t="shared" si="15"/>
        <v>231</v>
      </c>
      <c r="AN18" s="188">
        <f t="shared" si="15"/>
        <v>0</v>
      </c>
      <c r="AO18" s="188">
        <f t="shared" si="15"/>
        <v>5</v>
      </c>
      <c r="AP18" s="188">
        <f t="shared" si="15"/>
        <v>5</v>
      </c>
      <c r="AQ18" s="188">
        <f t="shared" si="15"/>
        <v>5</v>
      </c>
      <c r="AR18" s="188">
        <f t="shared" si="15"/>
        <v>5</v>
      </c>
      <c r="AS18" s="188">
        <f t="shared" si="15"/>
        <v>0</v>
      </c>
      <c r="AT18" s="188">
        <f t="shared" si="15"/>
        <v>0</v>
      </c>
      <c r="AU18" s="208"/>
      <c r="AV18" s="133"/>
      <c r="AW18" s="208"/>
      <c r="AX18" s="133"/>
      <c r="AY18" s="188">
        <f>SUBTOTAL(9,AY14:AY17)</f>
        <v>5624</v>
      </c>
      <c r="AZ18" s="188">
        <f>SUBTOTAL(9,AZ14:AZ17)</f>
        <v>4142</v>
      </c>
      <c r="BA18" s="188">
        <f>SUBTOTAL(9,BA14:BA17)</f>
        <v>3555</v>
      </c>
      <c r="BB18" s="188">
        <f>SUBTOTAL(9,BB14:BB17)</f>
        <v>6240</v>
      </c>
      <c r="BC18" s="188">
        <f>SUBTOTAL(9,BC14:BC17)</f>
        <v>312</v>
      </c>
      <c r="BD18" s="209">
        <f>IF(ISNUMBER(BA18/AZ18),BA18/AZ18," - ")</f>
        <v>0.85828102366006764</v>
      </c>
      <c r="BE18" s="210">
        <f>IF(ISNUMBER(BB18/BA18),BB18/BA18, " - ")</f>
        <v>1.7552742616033756</v>
      </c>
      <c r="BF18" s="210">
        <f>IF(ISNUMBER(BC18/BA18),BC18/BA18, " - ")</f>
        <v>8.7763713080168781E-2</v>
      </c>
      <c r="BG18" s="211">
        <f>IF(ISNUMBER((AY18+AZ18)/BA18),(AY18+AZ18)/BA18," - ")</f>
        <v>2.7471167369901548</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16135</v>
      </c>
      <c r="J19" s="135">
        <f t="shared" si="18"/>
        <v>7860</v>
      </c>
      <c r="K19" s="135">
        <f t="shared" si="18"/>
        <v>6956</v>
      </c>
      <c r="L19" s="135">
        <f t="shared" si="18"/>
        <v>17066</v>
      </c>
      <c r="M19" s="135">
        <f t="shared" si="18"/>
        <v>1017</v>
      </c>
      <c r="N19" s="135">
        <f t="shared" si="18"/>
        <v>4103</v>
      </c>
      <c r="O19" s="135">
        <f t="shared" si="18"/>
        <v>1498</v>
      </c>
      <c r="P19" s="135">
        <f t="shared" si="18"/>
        <v>932</v>
      </c>
      <c r="Q19" s="135">
        <f t="shared" si="18"/>
        <v>1386</v>
      </c>
      <c r="R19" s="135">
        <f t="shared" si="18"/>
        <v>14978</v>
      </c>
      <c r="S19" s="135">
        <f t="shared" si="18"/>
        <v>15786</v>
      </c>
      <c r="T19" s="135">
        <f t="shared" si="18"/>
        <v>7048</v>
      </c>
      <c r="U19" s="135">
        <f t="shared" si="18"/>
        <v>6182</v>
      </c>
      <c r="V19" s="135">
        <f t="shared" si="18"/>
        <v>16689</v>
      </c>
      <c r="W19" s="135">
        <f t="shared" si="18"/>
        <v>1031</v>
      </c>
      <c r="X19" s="135">
        <f t="shared" si="18"/>
        <v>3325</v>
      </c>
      <c r="Y19" s="135">
        <f t="shared" si="18"/>
        <v>238</v>
      </c>
      <c r="Z19" s="135">
        <f t="shared" si="18"/>
        <v>225</v>
      </c>
      <c r="AA19" s="135">
        <f t="shared" si="18"/>
        <v>308</v>
      </c>
      <c r="AB19" s="135">
        <f t="shared" si="18"/>
        <v>164</v>
      </c>
      <c r="AC19" s="135">
        <f t="shared" si="18"/>
        <v>0</v>
      </c>
      <c r="AD19" s="135">
        <f t="shared" si="18"/>
        <v>159</v>
      </c>
      <c r="AE19" s="135">
        <f t="shared" si="18"/>
        <v>159</v>
      </c>
      <c r="AF19" s="135">
        <f t="shared" si="18"/>
        <v>0</v>
      </c>
      <c r="AG19" s="135">
        <f t="shared" si="18"/>
        <v>137</v>
      </c>
      <c r="AH19" s="135">
        <f t="shared" si="18"/>
        <v>217</v>
      </c>
      <c r="AI19" s="135">
        <f t="shared" si="18"/>
        <v>207</v>
      </c>
      <c r="AJ19" s="135">
        <f t="shared" si="18"/>
        <v>245</v>
      </c>
      <c r="AK19" s="135">
        <f t="shared" si="18"/>
        <v>0</v>
      </c>
      <c r="AL19" s="135">
        <f t="shared" si="18"/>
        <v>231</v>
      </c>
      <c r="AM19" s="135">
        <f t="shared" si="18"/>
        <v>231</v>
      </c>
      <c r="AN19" s="214">
        <f t="shared" si="18"/>
        <v>0</v>
      </c>
      <c r="AO19" s="215">
        <v>15</v>
      </c>
      <c r="AP19" s="215">
        <v>15</v>
      </c>
      <c r="AQ19" s="215">
        <v>15</v>
      </c>
      <c r="AR19" s="215">
        <v>15</v>
      </c>
      <c r="AS19" s="157">
        <f t="shared" si="18"/>
        <v>0</v>
      </c>
      <c r="AT19" s="157">
        <f t="shared" si="18"/>
        <v>0</v>
      </c>
      <c r="AU19" s="215"/>
      <c r="AV19" s="216"/>
      <c r="AW19" s="215"/>
      <c r="AX19" s="216"/>
      <c r="AY19" s="134">
        <f>SUBTOTAL(9,AY9:AY18)</f>
        <v>15923</v>
      </c>
      <c r="AZ19" s="135">
        <f>SUBTOTAL(9,AZ9:AZ18)</f>
        <v>7265</v>
      </c>
      <c r="BA19" s="135">
        <f>SUBTOTAL(9,BA9:BA18)</f>
        <v>6389</v>
      </c>
      <c r="BB19" s="135">
        <f>SUBTOTAL(9,BB9:BB18)</f>
        <v>16934</v>
      </c>
      <c r="BC19" s="136">
        <f>SUBTOTAL(9,BC9:BC18)</f>
        <v>1437</v>
      </c>
      <c r="BD19" s="217">
        <f>IF(ISNUMBER(BA19/AZ19),BA19/AZ19," - ")</f>
        <v>0.87942188575361324</v>
      </c>
      <c r="BE19" s="214">
        <f>IF(ISNUMBER(BB19/BA19),BB19/BA19, " - ")</f>
        <v>2.6504930349037408</v>
      </c>
      <c r="BF19" s="214">
        <f>IF(ISNUMBER(BC19/BA19),BC19/BA19, " - ")</f>
        <v>0.2249178275160432</v>
      </c>
      <c r="BG19" s="136">
        <f>IF(ISNUMBER((AY19+AZ19)/BA19),(AY19+AZ19)/BA19," - ")</f>
        <v>3.6293629676005636</v>
      </c>
      <c r="BH19" s="215">
        <f>SUBTOTAL(9,BH9:BH18)</f>
        <v>15</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bXI5ivhSFNQD02inK+J8IUD6bWBsr/2f4ACz2Z2jQFfglzAhODSznvAGVoskQX+ClRSne2VHAWs9OvBsa3inw==" saltValue="vFTKH3RS0vKowDMxjGm4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w3c7vj0mT0TBGZLQ00JIgnKUG035cnsJC0JW2mKwaIiyPYmjtrs45DKM8/I7o1UKPGKKMBFb1O6nQO+mewvZQ==" saltValue="PMxaptVHYmAQUmdJj8KZy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GRANOLLERS</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8</v>
      </c>
      <c r="B9" s="652" t="s">
        <v>249</v>
      </c>
      <c r="C9" s="670" t="str">
        <f>Datos!A9</f>
        <v xml:space="preserve">Jdos. 1ª Instancia   </v>
      </c>
      <c r="D9" s="543"/>
      <c r="E9" s="669">
        <f>IF(ISNUMBER(Datos!AQ9),Datos!AQ9," - ")</f>
        <v>8</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f>IF(ISNUMBER(Datos!Z9),Datos!Z9," - ")</f>
        <v>104</v>
      </c>
      <c r="O9" s="503"/>
      <c r="P9" s="503"/>
      <c r="Q9" s="501">
        <f>IF(ISNUMBER(Datos!P9),Datos!P9,0)</f>
        <v>840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f>IF(ISNUMBER(Datos!Q9),Datos!Q9," - ")</f>
        <v>1200</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f>IF(ISNUMBER(Datos!AB9),Datos!AB9,"-")</f>
        <v>103</v>
      </c>
      <c r="AI9" s="503" t="str">
        <f>IF(ISNUMBER(Datos!CD9),Datos!CD9,"-")</f>
        <v>-</v>
      </c>
      <c r="AJ9" s="503" t="str">
        <f>IF(ISNUMBER(Datos!EN9),Datos!EN9," - ")</f>
        <v xml:space="preserve"> - </v>
      </c>
      <c r="AK9" s="503"/>
      <c r="AL9" s="504"/>
      <c r="AM9" s="671">
        <f>IF(ISNUMBER(Datos!R9),Datos!R9," - ")</f>
        <v>13886</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f>IF(ISNUMBER(Datos!M9),Datos!M9," - ")</f>
        <v>569</v>
      </c>
      <c r="BD9" s="619">
        <f>IF(ISNUMBER(Datos!N9),Datos!N9," - ")</f>
        <v>1253</v>
      </c>
      <c r="BE9" s="619" t="str">
        <f>IF(ISNUMBER(Datos!BW9),Datos!BW9," - ")</f>
        <v xml:space="preserve"> - </v>
      </c>
      <c r="BF9" s="667" t="str">
        <f>IF(ISNUMBER(Datos!BX9),Datos!BX9," - ")</f>
        <v xml:space="preserve"> - </v>
      </c>
      <c r="BG9" s="668">
        <f>IF(ISNUMBER(IF(J_V="SI",Datos!K9/Datos!J9,(Datos!K9+Datos!AA9)/(Datos!J9+Datos!Z9))),IF(J_V="SI",Datos!K9/Datos!J9,(Datos!K9+Datos!AA9)/(Datos!J9+Datos!Z9))," - ")</f>
        <v>0.81678486997635935</v>
      </c>
      <c r="BH9" s="669">
        <f>IF(ISNUMBER(((IF(J_V="SI",Datos!L9/Datos!K9,(Datos!L9+Datos!AB9)/(Datos!K9+Datos!AA9)))*11)/factor_trimestre),((IF(J_V="SI",Datos!L9/Datos!K9,(Datos!L9+Datos!AB9)/(Datos!K9+Datos!AA9)))*11)/factor_trimestre," - ")</f>
        <v>6.6215629522431252</v>
      </c>
      <c r="BI9" s="668"/>
      <c r="BJ9" s="509" t="str">
        <f>IF(ISNUMBER(Datos!CI9/Datos!CJ9),Datos!CI9/Datos!CJ9," - ")</f>
        <v xml:space="preserve"> - </v>
      </c>
      <c r="BK9" s="655" t="str">
        <f>IF(ISNUMBER(Datos!CJ9),Datos!CJ9," - ")</f>
        <v xml:space="preserve"> - </v>
      </c>
      <c r="BL9" s="509" t="str">
        <f>IF(ISNUMBER((J9-AB9+L9)/(F9)),(J9-AB9+L9)/(F9)," - ")</f>
        <v xml:space="preserve"> - </v>
      </c>
      <c r="BM9" s="672">
        <f>IF(ISNUMBER((Datos!P9-Datos!Q9+Datos!DE9)/(Datos!R9-Datos!P9+Datos!Q9-Datos!DE9)),(Datos!P9-Datos!Q9+Datos!DE9)/(Datos!R9-Datos!P9+Datos!Q9-Datos!DE9)," - ")</f>
        <v>-2.5270251298610137E-2</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1</v>
      </c>
      <c r="F10" s="506">
        <f>IF(ISNUMBER(Datos!L10+Datos!K10-Datos!J10),Datos!L10+Datos!K10-Datos!J10," - ")</f>
        <v>63</v>
      </c>
      <c r="G10" s="497">
        <f>IF(ISNUMBER(Datos!I10),Datos!I10," - ")</f>
        <v>63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8</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22</v>
      </c>
      <c r="AC10" s="501">
        <f>IF(ISNUMBER(Datos!Q10),Datos!Q10," - ")</f>
        <v>4</v>
      </c>
      <c r="AD10" s="503"/>
      <c r="AE10" s="516"/>
      <c r="AF10" s="505">
        <f>IF(ISNUMBER(Datos!L10),Datos!L10,"-")</f>
        <v>78</v>
      </c>
      <c r="AG10" s="503"/>
      <c r="AH10" s="503"/>
      <c r="AI10" s="503"/>
      <c r="AJ10" s="503"/>
      <c r="AK10" s="503"/>
      <c r="AL10" s="504"/>
      <c r="AM10" s="671">
        <f>IF(ISNUMBER(Datos!R10),Datos!R10," - ")</f>
        <v>96</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11</v>
      </c>
      <c r="BD10" s="619">
        <f>IF(ISNUMBER(Datos!N10),Datos!N10," - ")</f>
        <v>10</v>
      </c>
      <c r="BE10" s="619" t="str">
        <f>IF(ISNUMBER(Datos!BW10),Datos!BW10," - ")</f>
        <v xml:space="preserve"> - </v>
      </c>
      <c r="BF10" s="667" t="str">
        <f>IF(ISNUMBER(Datos!BX10),Datos!BX10," - ")</f>
        <v xml:space="preserve"> - </v>
      </c>
      <c r="BG10" s="668">
        <f>IF(ISNUMBER(Datos!K10/Datos!J10),Datos!K10/Datos!J10," - ")</f>
        <v>0.59459459459459463</v>
      </c>
      <c r="BH10" s="669">
        <f>IF(ISNUMBER(((Datos!L10/Datos!K10)*11)/factor_trimestre),((Datos!L10/Datos!K10)*11)/factor_trimestre," - ")</f>
        <v>7.0909090909090908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4.3478260869565216E-2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2</v>
      </c>
      <c r="B11" s="653" t="s">
        <v>249</v>
      </c>
      <c r="C11" s="654" t="str">
        <f>Datos!A11</f>
        <v xml:space="preserve">Jdos. Familia                                   </v>
      </c>
      <c r="D11" s="548"/>
      <c r="E11" s="669">
        <f>IF(ISNUMBER(Datos!AQ11),Datos!AQ11," - ")</f>
        <v>2</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f>IF(ISNUMBER(Datos!Z11),Datos!Z11," - ")</f>
        <v>121</v>
      </c>
      <c r="O11" s="503"/>
      <c r="P11" s="503"/>
      <c r="Q11" s="501">
        <f>IF(ISNUMBER(Datos!P11),Datos!P11,0)</f>
        <v>60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f>IF(ISNUMBER(Datos!Q11),Datos!Q11," - ")</f>
        <v>126</v>
      </c>
      <c r="AD11" s="503"/>
      <c r="AE11" s="516"/>
      <c r="AF11" s="505" t="str">
        <f>IF(ISNUMBER(IF(J_V="SI",Datos!L11,Datos!L11+Datos!AB11)-IF(Monitorios="SI",Datos!CD11,0)),
                          IF(J_V="SI",Datos!L11,Datos!L11+Datos!AB11)-IF(Monitorios="SI",Datos!CD11,0),
                          " - ")</f>
        <v xml:space="preserve"> - </v>
      </c>
      <c r="AG11" s="503"/>
      <c r="AH11" s="503">
        <f>IF(ISNUMBER(Datos!AB11),Datos!AB11,"-")</f>
        <v>61</v>
      </c>
      <c r="AI11" s="503"/>
      <c r="AJ11" s="503"/>
      <c r="AK11" s="503"/>
      <c r="AL11" s="504"/>
      <c r="AM11" s="671">
        <f>IF(ISNUMBER(Datos!R11),Datos!R11," - ")</f>
        <v>666</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f>IF(ISNUMBER(Datos!M11),Datos!M11," - ")</f>
        <v>73</v>
      </c>
      <c r="BD11" s="619">
        <f>IF(ISNUMBER(Datos!N11),Datos!N11," - ")</f>
        <v>293</v>
      </c>
      <c r="BE11" s="619" t="str">
        <f>IF(ISNUMBER(Datos!BW11),Datos!BW11," - ")</f>
        <v xml:space="preserve"> - </v>
      </c>
      <c r="BF11" s="667" t="str">
        <f>IF(ISNUMBER(Datos!BX11),Datos!BX11," - ")</f>
        <v xml:space="preserve"> - </v>
      </c>
      <c r="BG11" s="668">
        <f>IF(ISNUMBER(IF(J_V="SI",Datos!K11/Datos!J11,(Datos!K11+Datos!AA11)/(Datos!J11+Datos!Z11))),IF(J_V="SI",Datos!K11/Datos!J11,(Datos!K11+Datos!AA11)/(Datos!J11+Datos!Z11))," - ")</f>
        <v>1.0721247563352827</v>
      </c>
      <c r="BH11" s="669">
        <f>IF(ISNUMBER(((IF(J_V="SI",Datos!L11/Datos!K11,(Datos!L11+Datos!AB11)/(Datos!K11+Datos!AA11)))*11)/factor_trimestre),((IF(J_V="SI",Datos!L11/Datos!K11,(Datos!L11+Datos!AB11)/(Datos!K11+Datos!AA11)))*11)/factor_trimestre," - ")</f>
        <v>4.4763636363636365</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f>IF(ISNUMBER((Datos!P11-Datos!Q11+Datos!DE11)/(Datos!R11-Datos!P11+Datos!Q11-Datos!DE11)),(Datos!P11-Datos!Q11+Datos!DE11)/(Datos!R11-Datos!P11+Datos!Q11-Datos!DE11)," - ")</f>
        <v>-9.0163934426229511E-2</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0</v>
      </c>
      <c r="B12" s="653" t="s">
        <v>249</v>
      </c>
      <c r="C12" s="654" t="str">
        <f>Datos!A12</f>
        <v xml:space="preserve">Jdos. 1ª Instª. e Instr.                        </v>
      </c>
      <c r="D12" s="548"/>
      <c r="E12" s="669">
        <f>IF(ISNUMBER(Datos!AQ12),Datos!AQ12," - ")</f>
        <v>0</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t="str">
        <f>IF(ISNUMBER(Datos!Z12),Datos!Z12," - ")</f>
        <v xml:space="preserve"> - </v>
      </c>
      <c r="O12" s="503"/>
      <c r="P12" s="503"/>
      <c r="Q12" s="501">
        <f>IF(ISNUMBER(Datos!P12),Datos!P12,0)</f>
        <v>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t="str">
        <f>IF(ISNUMBER(Datos!Q12),Datos!Q12," - ")</f>
        <v xml:space="preserve"> - </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t="str">
        <f>IF(ISNUMBER(Datos!AB12),Datos!AB12,"-")</f>
        <v>-</v>
      </c>
      <c r="AI12" s="503" t="str">
        <f>IF(ISNUMBER(Datos!CD12),Datos!CD12,"-")</f>
        <v>-</v>
      </c>
      <c r="AJ12" s="503" t="str">
        <f>IF(ISNUMBER(Datos!EN12),Datos!EN12," - ")</f>
        <v xml:space="preserve"> - </v>
      </c>
      <c r="AK12" s="503"/>
      <c r="AL12" s="504"/>
      <c r="AM12" s="671" t="str">
        <f>IF(ISNUMBER(Datos!R12),Datos!R12," - ")</f>
        <v xml:space="preserve"> - </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t="str">
        <f>IF(ISNUMBER(Datos!M12),Datos!M12," - ")</f>
        <v xml:space="preserve"> - </v>
      </c>
      <c r="BD12" s="619" t="str">
        <f>IF(ISNUMBER(Datos!N12),Datos!N12," - ")</f>
        <v xml:space="preserve"> - </v>
      </c>
      <c r="BE12" s="619" t="str">
        <f>IF(ISNUMBER(Datos!BW12),Datos!BW12," - ")</f>
        <v xml:space="preserve"> - </v>
      </c>
      <c r="BF12" s="667" t="str">
        <f>IF(ISNUMBER(Datos!BX12),Datos!BX12," - ")</f>
        <v xml:space="preserve"> - </v>
      </c>
      <c r="BG12" s="668" t="str">
        <f>IF(ISNUMBER(IF(J_V="SI",Datos!K12/Datos!J12,(Datos!K12+Datos!AA12)/(Datos!J12+Datos!Z12))),IF(J_V="SI",Datos!K12/Datos!J12,(Datos!K12+Datos!AA12)/(Datos!J12+Datos!Z12))," - ")</f>
        <v xml:space="preserve"> - </v>
      </c>
      <c r="BH12" s="669" t="str">
        <f>IF(ISNUMBER(((IF(J_V="SI",Datos!L12/Datos!K12,(Datos!L12+Datos!AB12)/(Datos!K12+Datos!AA12)))*11)/factor_trimestre),((IF(J_V="SI",Datos!L12/Datos!K12,(Datos!L12+Datos!AB12)/(Datos!K12+Datos!AA12)))*11)/factor_trimestre," - ")</f>
        <v xml:space="preserve"> - </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t="str">
        <f>IF(ISNUMBER((Datos!P12-Datos!Q12+Datos!DE12)/(Datos!R12-Datos!P12+Datos!Q12-Datos!DE12)),(Datos!P12-Datos!Q12+Datos!DE12)/(Datos!R12-Datos!P12+Datos!Q12-Datos!DE12)," - ")</f>
        <v xml:space="preserve"> - </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11</v>
      </c>
      <c r="F13" s="1044">
        <f t="shared" si="0"/>
        <v>63</v>
      </c>
      <c r="G13" s="1044">
        <f t="shared" si="0"/>
        <v>63</v>
      </c>
      <c r="H13" s="1045">
        <f t="shared" si="0"/>
        <v>0</v>
      </c>
      <c r="I13" s="1044">
        <f t="shared" si="0"/>
        <v>0</v>
      </c>
      <c r="J13" s="1013">
        <f t="shared" si="0"/>
        <v>0</v>
      </c>
      <c r="K13" s="1013">
        <f t="shared" si="0"/>
        <v>0</v>
      </c>
      <c r="L13" s="1045">
        <f t="shared" si="0"/>
        <v>0</v>
      </c>
      <c r="M13" s="1045">
        <f t="shared" si="0"/>
        <v>0</v>
      </c>
      <c r="N13" s="1045">
        <f t="shared" si="0"/>
        <v>225</v>
      </c>
      <c r="O13" s="1046">
        <f t="shared" si="0"/>
        <v>0</v>
      </c>
      <c r="P13" s="1046">
        <f t="shared" si="0"/>
        <v>0</v>
      </c>
      <c r="Q13" s="1045">
        <f t="shared" si="0"/>
        <v>908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22</v>
      </c>
      <c r="AC13" s="1045">
        <f t="shared" si="1"/>
        <v>1330</v>
      </c>
      <c r="AD13" s="1045">
        <f t="shared" si="1"/>
        <v>0</v>
      </c>
      <c r="AE13" s="1045">
        <f t="shared" si="1"/>
        <v>0</v>
      </c>
      <c r="AF13" s="1045">
        <f t="shared" si="1"/>
        <v>78</v>
      </c>
      <c r="AG13" s="1045">
        <f t="shared" si="1"/>
        <v>0</v>
      </c>
      <c r="AH13" s="1045">
        <f t="shared" si="1"/>
        <v>164</v>
      </c>
      <c r="AI13" s="1045">
        <f t="shared" si="1"/>
        <v>0</v>
      </c>
      <c r="AJ13" s="1045">
        <f t="shared" si="1"/>
        <v>0</v>
      </c>
      <c r="AK13" s="1045">
        <f t="shared" si="1"/>
        <v>0</v>
      </c>
      <c r="AL13" s="1045">
        <f t="shared" si="1"/>
        <v>0</v>
      </c>
      <c r="AM13" s="1045">
        <f t="shared" si="1"/>
        <v>14648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653</v>
      </c>
      <c r="BD13" s="1045">
        <f t="shared" si="1"/>
        <v>1556</v>
      </c>
      <c r="BE13" s="1045">
        <f t="shared" si="1"/>
        <v>0</v>
      </c>
      <c r="BF13" s="1045">
        <f t="shared" si="1"/>
        <v>0</v>
      </c>
      <c r="BG13" s="1045">
        <f>IF(ISNUMBER(Datos!K13/Datos!J13),Datos!K13/Datos!J13," - ")</f>
        <v>0.81639255864114313</v>
      </c>
      <c r="BH13" s="1049">
        <f>IF(ISNUMBER(((Datos!L13/Datos!K13)*11)/factor_trimestre),((Datos!L13/Datos!K13)*11)/factor_trimestre," - ")</f>
        <v>6.800528401585205</v>
      </c>
      <c r="BI13" s="1045">
        <f>IF(ISNUMBER('Resol  Asuntos'!D13/NºAsuntos!G13),'Resol  Asuntos'!D13/NºAsuntos!G13," - ")</f>
        <v>0.19574340527577938</v>
      </c>
      <c r="BJ13" s="1045" t="str">
        <f>IF(ISNUMBER(Datos!CI13/Datos!CJ13),Datos!CI13/Datos!CJ13," - ")</f>
        <v xml:space="preserve"> - </v>
      </c>
      <c r="BK13" s="1045">
        <f>SUBTOTAL(9,BK8:BK12)</f>
        <v>0</v>
      </c>
      <c r="BL13" s="1045">
        <f>IF(ISNUMBER((I13-AB13+L13)/(F13)),(I13-AB13+L13)/(F13)," - ")</f>
        <v>-0.34920634920634919</v>
      </c>
      <c r="BM13" s="1050">
        <f>SUBTOTAL(9,BM9:BM12)</f>
        <v>-7.1955924855274439E-2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4</v>
      </c>
      <c r="B15" s="646" t="s">
        <v>400</v>
      </c>
      <c r="C15" s="656" t="str">
        <f>Datos!A15</f>
        <v xml:space="preserve">Jdos. Instrucción                               </v>
      </c>
      <c r="D15" s="657"/>
      <c r="E15" s="1330">
        <f>IF(ISNUMBER(Datos!AQ15),Datos!AQ15," - ")</f>
        <v>4</v>
      </c>
      <c r="F15" s="647">
        <f>IF(ISNUMBER(AF15+AB15-Datos!J15-L15),AF15+AB15-Datos!J15-L15," - ")</f>
        <v>6453</v>
      </c>
      <c r="G15" s="650">
        <f>IF(ISNUMBER(IF(D_I="SI",Datos!I15,Datos!I15+Datos!AC15)),IF(D_I="SI",Datos!I15,Datos!I15+Datos!AC15)," - ")</f>
        <v>6440</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24</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f>IF(ISNUMBER(IF(D_I="SI",Datos!K15,Datos!K15+Datos!AE15)),IF(D_I="SI",Datos!K15,Datos!K15+Datos!AE15)," - ")</f>
        <v>3637</v>
      </c>
      <c r="AC15" s="230">
        <f>IF(ISNUMBER(Datos!Q15),Datos!Q15," - ")</f>
        <v>55</v>
      </c>
      <c r="AD15" s="343"/>
      <c r="AE15" s="515"/>
      <c r="AF15" s="648">
        <f>IF(ISNUMBER(IF(D_I="SI",Datos!L15,Datos!L15+Datos!AF15)),IF(D_I="SI",Datos!L15,Datos!L15+Datos!AF15)," - ")</f>
        <v>6639</v>
      </c>
      <c r="AG15" s="343"/>
      <c r="AH15" s="343"/>
      <c r="AI15" s="343"/>
      <c r="AJ15" s="503"/>
      <c r="AK15" s="343"/>
      <c r="AL15" s="499"/>
      <c r="AM15" s="344">
        <f>IF(ISNUMBER(Datos!R15),Datos!R15," - ")</f>
        <v>326</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f>IF(ISNUMBER(Datos!M15),Datos!M15," - ")</f>
        <v>342</v>
      </c>
      <c r="BD15" s="233">
        <f>IF(ISNUMBER(Datos!N15),Datos!N15," - ")</f>
        <v>2363</v>
      </c>
      <c r="BE15" s="233" t="str">
        <f>IF(ISNUMBER(Datos!BW15),Datos!BW15," - ")</f>
        <v xml:space="preserve"> - </v>
      </c>
      <c r="BF15" s="232" t="str">
        <f>IF(ISNUMBER(Datos!BX15),Datos!BX15," - ")</f>
        <v xml:space="preserve"> - </v>
      </c>
      <c r="BG15" s="668">
        <f>IF(ISNUMBER(IF(D_I="SI",Datos!K15/Datos!J15,(Datos!K15+Datos!AE15)/(Datos!J15+Datos!AD15))),IF(D_I="SI",Datos!K15/Datos!J15,(Datos!K15+Datos!AE15)/(Datos!J15+Datos!AD15))," - ")</f>
        <v>0.95134710959979074</v>
      </c>
      <c r="BH15" s="669">
        <f>IF(ISNUMBER(((IF(D_I="SI",Datos!L15/Datos!K15,(Datos!L15+Datos!AF15)/(Datos!K15+Datos!AE15)))*11)/factor_trimestre),((IF(D_I="SI",Datos!L15/Datos!K15,(Datos!L15+Datos!AF15)/(Datos!K15+Datos!AE15)))*11)/factor_trimestre," - ")</f>
        <v>3.6508111080560899</v>
      </c>
      <c r="BI15" s="247">
        <f>IF(ISNUMBER('Resol  Asuntos'!D15/NºAsuntos!G15),'Resol  Asuntos'!D15/NºAsuntos!G15," - ")</f>
        <v>9.4033544129777283E-2</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0</v>
      </c>
      <c r="B16" s="646" t="s">
        <v>400</v>
      </c>
      <c r="C16" s="656" t="str">
        <f>Datos!A16</f>
        <v xml:space="preserve">Jdos. 1ª Instª. e Instr.                        </v>
      </c>
      <c r="D16" s="657"/>
      <c r="E16" s="1330">
        <f>IF(ISNUMBER(Datos!AQ16),Datos!AQ16," - ")</f>
        <v>0</v>
      </c>
      <c r="F16" s="647" t="str">
        <f>IF(ISNUMBER(AF16+AB16-Datos!J16-L16),AF16+AB16-Datos!J16-L16," - ")</f>
        <v xml:space="preserve"> - </v>
      </c>
      <c r="G16" s="650" t="str">
        <f>IF(ISNUMBER(IF(D_I="SI",Datos!I16,Datos!I16+Datos!AC16)),IF(D_I="SI",Datos!I16,Datos!I16+Datos!AC16)," - ")</f>
        <v xml:space="preserve"> - </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t="str">
        <f>IF(ISNUMBER(IF(D_I="SI",Datos!K16,Datos!K16+Datos!AE16)),IF(D_I="SI",Datos!K16,Datos!K16+Datos!AE16)," - ")</f>
        <v xml:space="preserve"> - </v>
      </c>
      <c r="AC16" s="230" t="str">
        <f>IF(ISNUMBER(Datos!Q16),Datos!Q16," - ")</f>
        <v xml:space="preserve"> - </v>
      </c>
      <c r="AD16" s="343"/>
      <c r="AE16" s="515"/>
      <c r="AF16" s="648" t="str">
        <f>IF(ISNUMBER(IF(D_I="SI",Datos!L16,Datos!L16+Datos!AF16)),IF(D_I="SI",Datos!L16,Datos!L16+Datos!AF16)," - ")</f>
        <v xml:space="preserve"> - </v>
      </c>
      <c r="AG16" s="343"/>
      <c r="AH16" s="343"/>
      <c r="AI16" s="343"/>
      <c r="AJ16" s="503"/>
      <c r="AK16" s="343"/>
      <c r="AL16" s="499"/>
      <c r="AM16" s="344" t="str">
        <f>IF(ISNUMBER(Datos!R16),Datos!R16," - ")</f>
        <v xml:space="preserve"> - </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t="str">
        <f>IF(ISNUMBER(Datos!M16),Datos!M16," - ")</f>
        <v xml:space="preserve"> - </v>
      </c>
      <c r="BD16" s="233" t="str">
        <f>IF(ISNUMBER(Datos!N16),Datos!N16," - ")</f>
        <v xml:space="preserve"> - </v>
      </c>
      <c r="BE16" s="233" t="str">
        <f>IF(ISNUMBER(Datos!BW16),Datos!BW16," - ")</f>
        <v xml:space="preserve"> - </v>
      </c>
      <c r="BF16" s="232" t="str">
        <f>IF(ISNUMBER(Datos!BX16),Datos!BX16," - ")</f>
        <v xml:space="preserve"> - </v>
      </c>
      <c r="BG16" s="668" t="str">
        <f>IF(ISNUMBER(IF(D_I="SI",Datos!K16/Datos!J16,(Datos!K16+Datos!AE16)/(Datos!J16+Datos!AD16))),IF(D_I="SI",Datos!K16/Datos!J16,(Datos!K16+Datos!AE16)/(Datos!J16+Datos!AD16))," - ")</f>
        <v xml:space="preserve"> - </v>
      </c>
      <c r="BH16" s="669" t="str">
        <f>IF(ISNUMBER(((IF(D_I="SI",Datos!L16/Datos!K16,(Datos!L16+Datos!AF16)/(Datos!K16+Datos!AE16)))*11)/factor_trimestre),((IF(D_I="SI",Datos!L16/Datos!K16,(Datos!L16+Datos!AF16)/(Datos!K16+Datos!AE16)))*11)/factor_trimestre," - ")</f>
        <v xml:space="preserve"> - </v>
      </c>
      <c r="BI16" s="247" t="str">
        <f>IF(ISNUMBER('Resol  Asuntos'!D16/NºAsuntos!G16),'Resol  Asuntos'!D16/NºAsuntos!G16," - ")</f>
        <v xml:space="preserve"> - </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94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291</v>
      </c>
      <c r="AC17" s="501">
        <f>IF(ISNUMBER(Datos!Q17),Datos!Q17," - ")</f>
        <v>1</v>
      </c>
      <c r="AD17" s="503"/>
      <c r="AE17" s="515"/>
      <c r="AF17" s="505">
        <f>IF(ISNUMBER(Datos!L17),Datos!L17,"-")</f>
        <v>131</v>
      </c>
      <c r="AG17" s="503"/>
      <c r="AH17" s="503"/>
      <c r="AI17" s="503"/>
      <c r="AJ17" s="503"/>
      <c r="AK17" s="503"/>
      <c r="AL17" s="504"/>
      <c r="AM17" s="671">
        <f>IF(ISNUMBER(Datos!R17),Datos!R17," - ")</f>
        <v>4</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22</v>
      </c>
      <c r="BD17" s="619">
        <f>IF(ISNUMBER(Datos!N17),Datos!N17," - ")</f>
        <v>184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0.88719512195121952</v>
      </c>
      <c r="BH17" s="669">
        <f>IF(ISNUMBER(((IF(D_I="SI",Datos!L17/Datos!K17,(Datos!L17+Datos!AF17)/(Datos!K17+Datos!AE17)))*11)/factor_trimestre),((IF(D_I="SI",Datos!L17/Datos!K17,(Datos!L17+Datos!AF17)/(Datos!K17+Datos!AE17)))*11)/factor_trimestre," - ")</f>
        <v>0.90034364261168387</v>
      </c>
      <c r="BI17" s="668">
        <f>IF(ISNUMBER('Resol  Asuntos'!D17/NºAsuntos!G17),'Resol  Asuntos'!D17/NºAsuntos!G17," - ")</f>
        <v>7.560137457044673E-2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5</v>
      </c>
      <c r="F18" s="1044">
        <f>SUBTOTAL(9,F15:F17)</f>
        <v>6453</v>
      </c>
      <c r="G18" s="1044">
        <f>SUBTOTAL(9,G15:G17)</f>
        <v>6534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3928</v>
      </c>
      <c r="AC18" s="1045">
        <f t="shared" si="4"/>
        <v>56</v>
      </c>
      <c r="AD18" s="1045">
        <f t="shared" si="4"/>
        <v>0</v>
      </c>
      <c r="AE18" s="1045">
        <f t="shared" si="4"/>
        <v>0</v>
      </c>
      <c r="AF18" s="1045">
        <f t="shared" si="4"/>
        <v>6770</v>
      </c>
      <c r="AG18" s="1045">
        <f t="shared" si="4"/>
        <v>0</v>
      </c>
      <c r="AH18" s="1045">
        <f t="shared" si="4"/>
        <v>0</v>
      </c>
      <c r="AI18" s="1045">
        <f t="shared" si="4"/>
        <v>0</v>
      </c>
      <c r="AJ18" s="1045">
        <f t="shared" si="4"/>
        <v>0</v>
      </c>
      <c r="AK18" s="1045">
        <f t="shared" si="4"/>
        <v>0</v>
      </c>
      <c r="AL18" s="1045">
        <f t="shared" si="4"/>
        <v>0</v>
      </c>
      <c r="AM18" s="1045">
        <f t="shared" si="4"/>
        <v>330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364</v>
      </c>
      <c r="BD18" s="1045">
        <f t="shared" si="4"/>
        <v>2547</v>
      </c>
      <c r="BE18" s="1045">
        <f t="shared" si="4"/>
        <v>0</v>
      </c>
      <c r="BF18" s="1045">
        <f t="shared" si="4"/>
        <v>0</v>
      </c>
      <c r="BG18" s="1045">
        <f>IF(ISNUMBER(Datos!K18/Datos!J18),Datos!K18/Datos!J18," - ")</f>
        <v>0.94627800529992778</v>
      </c>
      <c r="BH18" s="1049">
        <f>IF(ISNUMBER(((Datos!L18/Datos!K18)*11)/factor_trimestre),((Datos!L18/Datos!K18)*11)/factor_trimestre," - ")</f>
        <v>3.4470468431771892</v>
      </c>
      <c r="BI18" s="1045">
        <f>SUBTOTAL(9,BI15:BI17)</f>
        <v>0.16963491870022401</v>
      </c>
      <c r="BJ18" s="1045">
        <f>SUBTOTAL(9,BJ15:BJ17)</f>
        <v>0</v>
      </c>
      <c r="BK18" s="1045">
        <f>SUBTOTAL(9,BK15:BK17)</f>
        <v>0</v>
      </c>
      <c r="BL18" s="1045">
        <f>IF(ISNUMBER((I18-AB18+L18)/(F18)),(I18-AB18+L18)/(F18)," - ")</f>
        <v>-0.60870912753757944</v>
      </c>
      <c r="BM18" s="1051">
        <f>IF(ISNUMBER((Datos!P18-Datos!Q18)/(Datos!R18-Datos!P18+Datos!Q18)),(Datos!P18-Datos!Q18)/(Datos!R18-Datos!P18+Datos!Q18)," - ")</f>
        <v>-8.8397790055248615E-2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6516</v>
      </c>
      <c r="G19" s="966">
        <f t="shared" si="6"/>
        <v>6597</v>
      </c>
      <c r="H19" s="968">
        <f t="shared" si="6"/>
        <v>0</v>
      </c>
      <c r="I19" s="966">
        <f t="shared" si="6"/>
        <v>0</v>
      </c>
      <c r="J19" s="968">
        <f t="shared" si="6"/>
        <v>0</v>
      </c>
      <c r="K19" s="968">
        <f t="shared" si="6"/>
        <v>0</v>
      </c>
      <c r="L19" s="1027">
        <f t="shared" si="6"/>
        <v>0</v>
      </c>
      <c r="M19" s="1027">
        <f t="shared" si="6"/>
        <v>0</v>
      </c>
      <c r="N19" s="1027">
        <f t="shared" si="6"/>
        <v>225</v>
      </c>
      <c r="O19" s="1027">
        <f t="shared" si="6"/>
        <v>0</v>
      </c>
      <c r="P19" s="1027">
        <f t="shared" si="6"/>
        <v>0</v>
      </c>
      <c r="Q19" s="968">
        <f t="shared" si="6"/>
        <v>932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3950</v>
      </c>
      <c r="AC19" s="967">
        <f t="shared" si="7"/>
        <v>1386</v>
      </c>
      <c r="AD19" s="967">
        <f t="shared" si="7"/>
        <v>0</v>
      </c>
      <c r="AE19" s="967">
        <f t="shared" si="7"/>
        <v>0</v>
      </c>
      <c r="AF19" s="974">
        <f t="shared" si="7"/>
        <v>6848</v>
      </c>
      <c r="AG19" s="974">
        <f t="shared" si="7"/>
        <v>0</v>
      </c>
      <c r="AH19" s="974">
        <f t="shared" si="7"/>
        <v>164</v>
      </c>
      <c r="AI19" s="974">
        <f t="shared" si="7"/>
        <v>0</v>
      </c>
      <c r="AJ19" s="967">
        <f t="shared" si="7"/>
        <v>0</v>
      </c>
      <c r="AK19" s="974">
        <f t="shared" si="7"/>
        <v>0</v>
      </c>
      <c r="AL19" s="974">
        <f t="shared" si="7"/>
        <v>0</v>
      </c>
      <c r="AM19" s="974">
        <f t="shared" si="7"/>
        <v>14978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1017</v>
      </c>
      <c r="BD19" s="966">
        <f t="shared" si="7"/>
        <v>4103</v>
      </c>
      <c r="BE19" s="966">
        <f t="shared" si="7"/>
        <v>0</v>
      </c>
      <c r="BF19" s="976">
        <f t="shared" si="7"/>
        <v>0</v>
      </c>
      <c r="BG19" s="1061">
        <f>IF(ISNUMBER(Datos!K19/Datos!J19),Datos!K19/Datos!J19," - ")</f>
        <v>0.88498727735368954</v>
      </c>
      <c r="BH19" s="1061">
        <f>IF(ISNUMBER(((Datos!L19/Datos!K19)*11)/factor_trimestre),((Datos!L19/Datos!K19)*11)/factor_trimestre," - ")</f>
        <v>4.9068430132259921</v>
      </c>
      <c r="BI19" s="959">
        <f>IF(ISNUMBER(Datos!J19/Datos!I19),Datos!J19/Datos!I19," - ")</f>
        <v>0.4871397582894329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-0.60620012277470836</v>
      </c>
      <c r="BM19" s="1035">
        <f>IF(ISNUMBER((Datos!P19-Datos!Q19+R19)/(Datos!R19-Datos!P19+Datos!Q19-R19)),(Datos!P19-Datos!Q19+R19)/(Datos!R19-Datos!P19+Datos!Q19-R19)," - ")</f>
        <v>-2.9419388284085017E-2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2638.8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3.844187531556932</v>
      </c>
      <c r="F21" s="599">
        <f>IF(ISNUMBER(STDEV(F8:F18)),STDEV(F8:F18),"-")</f>
        <v>3689.2682201217085</v>
      </c>
      <c r="G21" s="600">
        <f>IF(ISNUMBER(STDEV(G8:G18)),STDEV(G8:G18),"-")</f>
        <v>3513.0899077592649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2016.2218379930321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262.85031047020988</v>
      </c>
      <c r="BD21" s="599"/>
      <c r="BE21" s="599">
        <f>IF(ISNUMBER(STDEV(BE8:BE18)),STDEV(BE8:BE18),"-")</f>
        <v>0</v>
      </c>
      <c r="BF21" s="604">
        <f>IF(ISNUMBER(STDEV(BF8:BF18)),STDEV(BF8:BF18),"-")</f>
        <v>0</v>
      </c>
      <c r="BG21" s="914">
        <f>IF(ISNUMBER(STDEV(BG8:BG18)),STDEV(BG8:BG18),"-")</f>
        <v>0.15007527761286141</v>
      </c>
      <c r="BH21" s="918">
        <f>IF(ISNUMBER(STDEV(BH8:BH18)),STDEV(BH8:BH18),"-")</f>
        <v>2.2722259730403143</v>
      </c>
      <c r="BI21" s="253">
        <f>IF(ISNUMBER(STDEV(BI8:BI18)),STDEV(BI8:BI18),"-")</f>
        <v>5.7993014378757875E-2</v>
      </c>
      <c r="BJ21" s="234" t="str">
        <f>IF(ISNUMBER(BL21/BM21),BL21/BM21," - ")</f>
        <v xml:space="preserve"> - </v>
      </c>
      <c r="BK21" s="626"/>
      <c r="BL21" s="607">
        <f>IF(ISNUMBER(STDEV(BL8:BL18)),STDEV(BL8:BL18),"-")</f>
        <v>0.18349617429476239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PA4eOHmxPhQFW/qxZJj6IzN/2NEda874gLldnu4sDFs0/eFZDXJSv9KOheH16jxjqIlfnIHx1ubCYLE70B5iuQ==" saltValue="q5jRsgDj5igkdSeXq5rEH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GRANOLLERS</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8</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840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f>IF(ISNUMBER(Datos!Q9),Datos!Q9," - ")</f>
        <v>1200</v>
      </c>
      <c r="AA9" s="505" t="str">
        <f>IF(ISNUMBER(IF(J_V="SI",Datos!L9,Datos!L9+Datos!AB9)-IF(Monitorios="SI",Datos!CD9,0)),
                          IF(J_V="SI",Datos!L9,Datos!L9+Datos!AB9)-IF(Monitorios="SI",Datos!CD9,0),
                          " - ")</f>
        <v xml:space="preserve"> - </v>
      </c>
      <c r="AB9" s="503"/>
      <c r="AC9" s="503"/>
      <c r="AD9" s="516"/>
      <c r="AE9" s="516">
        <f>IF(ISNUMBER(Datos!R9),Datos!R9," - ")</f>
        <v>13886</v>
      </c>
      <c r="AF9" s="619" t="str">
        <f>IF(ISNUMBER(Datos!BV9),Datos!BV9," - ")</f>
        <v xml:space="preserve"> - </v>
      </c>
      <c r="AG9" s="506" t="str">
        <f>IF(ISNUMBER(Datos!DV9),Datos!DV9," - ")</f>
        <v xml:space="preserve"> - </v>
      </c>
      <c r="AH9" s="507"/>
      <c r="AI9" s="508"/>
      <c r="AJ9" s="506">
        <f>IF(ISNUMBER(Datos!M9),Datos!M9," - ")</f>
        <v>569</v>
      </c>
      <c r="AK9" s="619">
        <f>IF(ISNUMBER(Datos!N9),Datos!N9," - ")</f>
        <v>1253</v>
      </c>
      <c r="AL9" s="619" t="str">
        <f>IF(ISNUMBER(Datos!BW9),Datos!BW9," - ")</f>
        <v xml:space="preserve"> - </v>
      </c>
      <c r="AM9" s="667" t="str">
        <f>IF(ISNUMBER(Datos!BX9),Datos!BX9," - ")</f>
        <v xml:space="preserve"> - </v>
      </c>
      <c r="AN9" s="668"/>
      <c r="AO9" s="669">
        <f>IF(ISNUMBER(((NºAsuntos!I9/NºAsuntos!G9)*11)/factor_trimestre),((NºAsuntos!I9/NºAsuntos!G9)*11)/factor_trimestre," - ")</f>
        <v>6.6215629522431252</v>
      </c>
      <c r="AP9" s="509" t="str">
        <f>IF(ISNUMBER(Datos!CI9/Datos!CJ9),Datos!CI9/Datos!CJ9," - ")</f>
        <v xml:space="preserve"> - </v>
      </c>
      <c r="AQ9" s="509" t="str">
        <f>IF(ISNUMBER((J9-Y9+K9)/(F9)),(J9-Y9+K9)/(F9)," - ")</f>
        <v xml:space="preserve"> - </v>
      </c>
      <c r="AR9" s="509">
        <f>IF(ISNUMBER((Datos!P9-Datos!Q9+Datos!DE9)/(Datos!R9-Datos!P9+Datos!Q9-Datos!DE9)),(Datos!P9-Datos!Q9+Datos!DE9)/(Datos!R9-Datos!P9+Datos!Q9-Datos!DE9)," - ")</f>
        <v>-2.5270251298610137E-2</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1</v>
      </c>
      <c r="F10" s="506">
        <f>IF(ISNUMBER(Datos!L10+Datos!K10-Datos!J10),Datos!L10+Datos!K10-Datos!J10," - ")</f>
        <v>63</v>
      </c>
      <c r="G10" s="506">
        <f>IF(ISNUMBER(Datos!I10),Datos!I10," - ")</f>
        <v>63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8</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22</v>
      </c>
      <c r="Z10" s="703">
        <f>IF(ISNUMBER(Datos!Q10),Datos!Q10," - ")</f>
        <v>4</v>
      </c>
      <c r="AA10" s="505">
        <f>IF(ISNUMBER(Datos!L10),Datos!L10,"-")</f>
        <v>78</v>
      </c>
      <c r="AB10" s="503"/>
      <c r="AC10" s="503"/>
      <c r="AD10" s="516"/>
      <c r="AE10" s="516">
        <f>IF(ISNUMBER(Datos!R10),Datos!R10," - ")</f>
        <v>96</v>
      </c>
      <c r="AF10" s="619" t="str">
        <f>IF(ISNUMBER(Datos!BV10),Datos!BV10," - ")</f>
        <v xml:space="preserve"> - </v>
      </c>
      <c r="AG10" s="506" t="str">
        <f>IF(ISNUMBER(Datos!DV10),Datos!DV10," - ")</f>
        <v xml:space="preserve"> - </v>
      </c>
      <c r="AH10" s="507"/>
      <c r="AI10" s="508"/>
      <c r="AJ10" s="506">
        <f>IF(ISNUMBER(Datos!M10),Datos!M10," - ")</f>
        <v>11</v>
      </c>
      <c r="AK10" s="619">
        <f>IF(ISNUMBER(Datos!N10),Datos!N10," - ")</f>
        <v>10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7.0909090909090908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4.3478260869565216E-2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2</v>
      </c>
      <c r="B11" s="653" t="s">
        <v>249</v>
      </c>
      <c r="C11" s="654" t="str">
        <f>Datos!A11</f>
        <v xml:space="preserve">Jdos. Familia                                   </v>
      </c>
      <c r="D11" s="548"/>
      <c r="E11" s="1333">
        <f>IF(ISNUMBER(Datos!AQ11),Datos!AQ11," - ")</f>
        <v>2</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60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f>IF(ISNUMBER(Datos!Q11),Datos!Q11," - ")</f>
        <v>126</v>
      </c>
      <c r="AA11" s="505" t="str">
        <f>IF(ISNUMBER(IF(J_V="SI",Datos!L11,Datos!L11+Datos!AB11)-IF(Monitorios="SI",Datos!CD11,0)),
                          IF(J_V="SI",Datos!L11,Datos!L11+Datos!AB11)-IF(Monitorios="SI",Datos!CD11,0),
                          " - ")</f>
        <v xml:space="preserve"> - </v>
      </c>
      <c r="AB11" s="503"/>
      <c r="AC11" s="503"/>
      <c r="AD11" s="516"/>
      <c r="AE11" s="516">
        <f>IF(ISNUMBER(Datos!R11),Datos!R11," - ")</f>
        <v>666</v>
      </c>
      <c r="AF11" s="619" t="str">
        <f>IF(ISNUMBER(Datos!BV11),Datos!BV11," - ")</f>
        <v xml:space="preserve"> - </v>
      </c>
      <c r="AG11" s="506" t="str">
        <f>IF(ISNUMBER(Datos!DV11),Datos!DV11," - ")</f>
        <v xml:space="preserve"> - </v>
      </c>
      <c r="AH11" s="507"/>
      <c r="AI11" s="508"/>
      <c r="AJ11" s="506">
        <f>IF(ISNUMBER(Datos!M11),Datos!M11," - ")</f>
        <v>73</v>
      </c>
      <c r="AK11" s="619">
        <f>IF(ISNUMBER(Datos!N11),Datos!N11," - ")</f>
        <v>293</v>
      </c>
      <c r="AL11" s="619" t="str">
        <f>IF(ISNUMBER(Datos!BW11),Datos!BW11," - ")</f>
        <v xml:space="preserve"> - </v>
      </c>
      <c r="AM11" s="667" t="str">
        <f>IF(ISNUMBER(Datos!BX11),Datos!BX11," - ")</f>
        <v xml:space="preserve"> - </v>
      </c>
      <c r="AN11" s="668"/>
      <c r="AO11" s="669">
        <f>IF(ISNUMBER(((NºAsuntos!I11/NºAsuntos!G11)*11)/factor_trimestre),((NºAsuntos!I11/NºAsuntos!G11)*11)/factor_trimestre," - ")</f>
        <v>4.4763636363636365</v>
      </c>
      <c r="AP11" s="509" t="str">
        <f>IF(ISNUMBER(Datos!CI11/Datos!CJ11),Datos!CI11/Datos!CJ11," - ")</f>
        <v xml:space="preserve"> - </v>
      </c>
      <c r="AQ11" s="509" t="str">
        <f>IF(ISNUMBER((J11-Y11+K11)/(F11)),(J11-Y11+K11)/(F11)," - ")</f>
        <v xml:space="preserve"> - </v>
      </c>
      <c r="AR11" s="509">
        <f>IF(ISNUMBER((Datos!P11-Datos!Q11+Datos!DE11)/(Datos!R11-Datos!P11+Datos!Q11-Datos!DE11)),(Datos!P11-Datos!Q11+Datos!DE11)/(Datos!R11-Datos!P11+Datos!Q11-Datos!DE11)," - ")</f>
        <v>-9.0163934426229511E-2</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0</v>
      </c>
      <c r="B12" s="653" t="s">
        <v>249</v>
      </c>
      <c r="C12" s="654" t="str">
        <f>Datos!A12</f>
        <v xml:space="preserve">Jdos. 1ª Instª. e Instr.                        </v>
      </c>
      <c r="D12" s="548"/>
      <c r="E12" s="1333">
        <f>IF(ISNUMBER(Datos!AQ12),Datos!AQ12," - ")</f>
        <v>0</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t="str">
        <f>IF(ISNUMBER(Datos!Q12),Datos!Q12," - ")</f>
        <v xml:space="preserve"> - </v>
      </c>
      <c r="AA12" s="505" t="str">
        <f>IF(ISNUMBER(IF(J_V="SI",Datos!L12,Datos!L12+Datos!AB12)-IF(Monitorios="SI",Datos!CD12,0)),
                          IF(J_V="SI",Datos!L12,Datos!L12+Datos!AB12)-IF(Monitorios="SI",Datos!CD12,0),
                          " - ")</f>
        <v xml:space="preserve"> - </v>
      </c>
      <c r="AB12" s="503"/>
      <c r="AC12" s="503"/>
      <c r="AD12" s="516"/>
      <c r="AE12" s="516" t="str">
        <f>IF(ISNUMBER(Datos!R12),Datos!R12," - ")</f>
        <v xml:space="preserve"> - </v>
      </c>
      <c r="AF12" s="619" t="str">
        <f>IF(ISNUMBER(Datos!BV12),Datos!BV12," - ")</f>
        <v xml:space="preserve"> - </v>
      </c>
      <c r="AG12" s="506" t="str">
        <f>IF(ISNUMBER(Datos!DV12),Datos!DV12," - ")</f>
        <v xml:space="preserve"> - </v>
      </c>
      <c r="AH12" s="507"/>
      <c r="AI12" s="508"/>
      <c r="AJ12" s="506" t="str">
        <f>IF(ISNUMBER(Datos!M12),Datos!M12," - ")</f>
        <v xml:space="preserve"> - </v>
      </c>
      <c r="AK12" s="619" t="str">
        <f>IF(ISNUMBER(Datos!N12),Datos!N12," - ")</f>
        <v xml:space="preserve"> - </v>
      </c>
      <c r="AL12" s="619" t="str">
        <f>IF(ISNUMBER(Datos!BW12),Datos!BW12," - ")</f>
        <v xml:space="preserve"> - </v>
      </c>
      <c r="AM12" s="667" t="str">
        <f>IF(ISNUMBER(Datos!BX12),Datos!BX12," - ")</f>
        <v xml:space="preserve"> - </v>
      </c>
      <c r="AN12" s="668"/>
      <c r="AO12" s="669" t="str">
        <f>IF(ISNUMBER(((NºAsuntos!I12/NºAsuntos!G12)*11)/factor_trimestre),((NºAsuntos!I12/NºAsuntos!G12)*11)/factor_trimestre," - ")</f>
        <v xml:space="preserve"> - </v>
      </c>
      <c r="AP12" s="509" t="str">
        <f>IF(ISNUMBER(Datos!CI12/Datos!CJ12),Datos!CI12/Datos!CJ12," - ")</f>
        <v xml:space="preserve"> - </v>
      </c>
      <c r="AQ12" s="509" t="str">
        <f>IF(ISNUMBER((J12-Y12+K12)/(F12)),(J12-Y12+K12)/(F12)," - ")</f>
        <v xml:space="preserve"> - </v>
      </c>
      <c r="AR12" s="509" t="str">
        <f>IF(ISNUMBER((Datos!P12-Datos!Q12+Datos!DE12)/(Datos!R12-Datos!P12+Datos!Q12-Datos!DE12)),(Datos!P12-Datos!Q12+Datos!DE12)/(Datos!R12-Datos!P12+Datos!Q12-Datos!DE12)," - ")</f>
        <v xml:space="preserve"> - </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11</v>
      </c>
      <c r="F13" s="1044">
        <f>SUBTOTAL(9,F8:F12)</f>
        <v>63</v>
      </c>
      <c r="G13" s="1044">
        <f>SUBTOTAL(9,G8:G12)</f>
        <v>63</v>
      </c>
      <c r="H13" s="1054"/>
      <c r="I13" s="1044">
        <f t="shared" ref="I13:N13" si="0">SUBTOTAL(9,I8:I12)</f>
        <v>0</v>
      </c>
      <c r="J13" s="1013">
        <f t="shared" si="0"/>
        <v>0</v>
      </c>
      <c r="K13" s="1054">
        <f t="shared" si="0"/>
        <v>0</v>
      </c>
      <c r="L13" s="1054">
        <f t="shared" si="0"/>
        <v>0</v>
      </c>
      <c r="M13" s="1054">
        <f t="shared" si="0"/>
        <v>0</v>
      </c>
      <c r="N13" s="1054">
        <f t="shared" si="0"/>
        <v>908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22</v>
      </c>
      <c r="Z13" s="1053">
        <f t="shared" si="2"/>
        <v>1330</v>
      </c>
      <c r="AA13" s="1046">
        <f t="shared" si="2"/>
        <v>78</v>
      </c>
      <c r="AB13" s="1046">
        <f t="shared" si="2"/>
        <v>0</v>
      </c>
      <c r="AC13" s="1046">
        <f t="shared" si="2"/>
        <v>0</v>
      </c>
      <c r="AD13" s="1046">
        <f t="shared" si="2"/>
        <v>0</v>
      </c>
      <c r="AE13" s="1046">
        <f t="shared" si="2"/>
        <v>14648</v>
      </c>
      <c r="AF13" s="1054">
        <f t="shared" si="2"/>
        <v>0</v>
      </c>
      <c r="AG13" s="1054">
        <f t="shared" si="2"/>
        <v>0</v>
      </c>
      <c r="AH13" s="1054">
        <f t="shared" si="2"/>
        <v>0</v>
      </c>
      <c r="AI13" s="1054">
        <f t="shared" si="2"/>
        <v>0</v>
      </c>
      <c r="AJ13" s="1054">
        <f t="shared" si="2"/>
        <v>653</v>
      </c>
      <c r="AK13" s="1054">
        <f t="shared" si="2"/>
        <v>1556</v>
      </c>
      <c r="AL13" s="1054">
        <f t="shared" si="2"/>
        <v>0</v>
      </c>
      <c r="AM13" s="1054">
        <f t="shared" si="2"/>
        <v>0</v>
      </c>
      <c r="AN13" s="1054">
        <f t="shared" si="2"/>
        <v>0</v>
      </c>
      <c r="AO13" s="1050">
        <f>IF(ISNUMBER(((NºAsuntos!I13/NºAsuntos!G13)*11)/factor_trimestre),((NºAsuntos!I13/NºAsuntos!G13)*11)/factor_trimestre," - ")</f>
        <v>6.2709832134292576</v>
      </c>
      <c r="AP13" s="1056" t="str">
        <f>IF(ISNUMBER(Datos!CI13/Datos!CJ13),Datos!CI13/Datos!CJ13," - ")</f>
        <v xml:space="preserve"> - </v>
      </c>
      <c r="AQ13" s="1074">
        <f t="shared" ref="AQ13:AV13" si="3">SUBTOTAL(9,AQ9:AQ12)</f>
        <v>0</v>
      </c>
      <c r="AR13" s="1074">
        <f t="shared" si="3"/>
        <v>-7.1955924855274439E-2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4</v>
      </c>
      <c r="B15" s="653" t="s">
        <v>400</v>
      </c>
      <c r="C15" s="670" t="str">
        <f>Datos!A15</f>
        <v xml:space="preserve">Jdos. Instrucción                               </v>
      </c>
      <c r="D15" s="543"/>
      <c r="E15" s="1333">
        <f>IF(ISNUMBER(Datos!AQ15),Datos!AQ15," - ")</f>
        <v>4</v>
      </c>
      <c r="F15" s="497">
        <f>IF(ISNUMBER(AA15+Y15-Datos!J15-K15),AA15+Y15-Datos!J15-K15," - ")</f>
        <v>6453</v>
      </c>
      <c r="G15" s="506">
        <f>IF(ISNUMBER(IF(D_I="SI",Datos!I15,Datos!I15+Datos!AC15)),IF(D_I="SI",Datos!I15,Datos!I15+Datos!AC15)," - ")</f>
        <v>6440</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24</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f>IF(ISNUMBER(IF(D_I="SI",Datos!K15,Datos!K15+Datos!AE15)),IF(D_I="SI",Datos!K15,Datos!K15+Datos!AE15)," - ")</f>
        <v>3637</v>
      </c>
      <c r="Z15" s="703">
        <f>IF(ISNUMBER(Datos!Q15),Datos!Q15," - ")</f>
        <v>55</v>
      </c>
      <c r="AA15" s="505">
        <f>IF(ISNUMBER(IF(D_I="SI",Datos!L15,Datos!L15+Datos!AF15)),IF(D_I="SI",Datos!L15,Datos!L15+Datos!AF15)," - ")</f>
        <v>6639</v>
      </c>
      <c r="AB15" s="503"/>
      <c r="AC15" s="503"/>
      <c r="AD15" s="516"/>
      <c r="AE15" s="516">
        <f>IF(ISNUMBER(Datos!R15),Datos!R15," - ")</f>
        <v>326</v>
      </c>
      <c r="AF15" s="619" t="str">
        <f>IF(ISNUMBER(Datos!BV15),Datos!BV15," - ")</f>
        <v xml:space="preserve"> - </v>
      </c>
      <c r="AG15" s="506"/>
      <c r="AH15" s="507"/>
      <c r="AI15" s="508"/>
      <c r="AJ15" s="506">
        <f>IF(ISNUMBER(Datos!M15),Datos!M15," - ")</f>
        <v>342</v>
      </c>
      <c r="AK15" s="619">
        <f>IF(ISNUMBER(Datos!N15),Datos!N15," - ")</f>
        <v>2363</v>
      </c>
      <c r="AL15" s="619" t="str">
        <f>IF(ISNUMBER(Datos!BW15),Datos!BW15," - ")</f>
        <v xml:space="preserve"> - </v>
      </c>
      <c r="AM15" s="667" t="str">
        <f>IF(ISNUMBER(Datos!BX15),Datos!BX15," - ")</f>
        <v xml:space="preserve"> - </v>
      </c>
      <c r="AN15" s="668"/>
      <c r="AO15" s="669">
        <f>IF(ISNUMBER(((NºAsuntos!I15/NºAsuntos!G15)*11)/factor_trimestre),((NºAsuntos!I15/NºAsuntos!G15)*11)/factor_trimestre," - ")</f>
        <v>3.6508111080560899</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0</v>
      </c>
      <c r="B16" s="653" t="s">
        <v>400</v>
      </c>
      <c r="C16" s="670" t="str">
        <f>Datos!A16</f>
        <v xml:space="preserve">Jdos. 1ª Instª. e Instr.                        </v>
      </c>
      <c r="D16" s="543"/>
      <c r="E16" s="1333">
        <f>IF(ISNUMBER(Datos!AQ16),Datos!AQ16," - ")</f>
        <v>0</v>
      </c>
      <c r="F16" s="497" t="str">
        <f>IF(ISNUMBER(AA16+Y16-Datos!J16-K15),AA16+Y16-Datos!J16-K15," - ")</f>
        <v xml:space="preserve"> - </v>
      </c>
      <c r="G16" s="506" t="str">
        <f>IF(ISNUMBER(IF(D_I="SI",Datos!I16,Datos!I16+Datos!AC16)),IF(D_I="SI",Datos!I16,Datos!I16+Datos!AC16)," - ")</f>
        <v xml:space="preserve"> - </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t="str">
        <f>IF(ISNUMBER(IF(D_I="SI",Datos!K16,Datos!K16+Datos!AE16)),IF(D_I="SI",Datos!K16,Datos!K16+Datos!AE16)," - ")</f>
        <v xml:space="preserve"> - </v>
      </c>
      <c r="Z16" s="703" t="str">
        <f>IF(ISNUMBER(Datos!Q16),Datos!Q16," - ")</f>
        <v xml:space="preserve"> - </v>
      </c>
      <c r="AA16" s="505" t="str">
        <f>IF(ISNUMBER(IF(D_I="SI",Datos!L16,Datos!L16+Datos!AF16)),IF(D_I="SI",Datos!L16,Datos!L16+Datos!AF16)," - ")</f>
        <v xml:space="preserve"> - </v>
      </c>
      <c r="AB16" s="503"/>
      <c r="AC16" s="503"/>
      <c r="AD16" s="516"/>
      <c r="AE16" s="516" t="str">
        <f>IF(ISNUMBER(Datos!R16),Datos!R16," - ")</f>
        <v xml:space="preserve"> - </v>
      </c>
      <c r="AF16" s="619" t="str">
        <f>IF(ISNUMBER(Datos!BV16),Datos!BV16," - ")</f>
        <v xml:space="preserve"> - </v>
      </c>
      <c r="AG16" s="506"/>
      <c r="AH16" s="507"/>
      <c r="AI16" s="508"/>
      <c r="AJ16" s="506" t="str">
        <f>IF(ISNUMBER(Datos!M16),Datos!M16," - ")</f>
        <v xml:space="preserve"> - </v>
      </c>
      <c r="AK16" s="619" t="str">
        <f>IF(ISNUMBER(Datos!N16),Datos!N16," - ")</f>
        <v xml:space="preserve"> - </v>
      </c>
      <c r="AL16" s="619" t="str">
        <f>IF(ISNUMBER(Datos!BW16),Datos!BW16," - ")</f>
        <v xml:space="preserve"> - </v>
      </c>
      <c r="AM16" s="667" t="str">
        <f>IF(ISNUMBER(Datos!BX16),Datos!BX16," - ")</f>
        <v xml:space="preserve"> - </v>
      </c>
      <c r="AN16" s="668"/>
      <c r="AO16" s="669" t="str">
        <f>IF(ISNUMBER(((NºAsuntos!I16/NºAsuntos!G16)*11)/factor_trimestre),((NºAsuntos!I16/NºAsuntos!G16)*11)/factor_trimestre," - ")</f>
        <v xml:space="preserve"> - </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94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291</v>
      </c>
      <c r="Z17" s="703">
        <f>IF(ISNUMBER(Datos!Q17),Datos!Q17," - ")</f>
        <v>1</v>
      </c>
      <c r="AA17" s="505">
        <f>IF(ISNUMBER(Datos!L17),Datos!L17,"-")</f>
        <v>131</v>
      </c>
      <c r="AB17" s="503"/>
      <c r="AC17" s="503"/>
      <c r="AD17" s="516"/>
      <c r="AE17" s="516">
        <f>IF(ISNUMBER(Datos!R17),Datos!R17," - ")</f>
        <v>4</v>
      </c>
      <c r="AF17" s="619" t="str">
        <f>IF(ISNUMBER(Datos!BV17),Datos!BV17," - ")</f>
        <v xml:space="preserve"> - </v>
      </c>
      <c r="AG17" s="506" t="str">
        <f>IF(ISNUMBER(Datos!DV17),Datos!DV17," - ")</f>
        <v xml:space="preserve"> - </v>
      </c>
      <c r="AH17" s="507"/>
      <c r="AI17" s="508"/>
      <c r="AJ17" s="506">
        <f>IF(ISNUMBER(Datos!M17),Datos!M17," - ")</f>
        <v>22</v>
      </c>
      <c r="AK17" s="619">
        <f>IF(ISNUMBER(Datos!N17),Datos!N17," - ")</f>
        <v>184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0.90034364261168387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5</v>
      </c>
      <c r="F18" s="1044">
        <f>SUBTOTAL(9,F15:F17)</f>
        <v>6453</v>
      </c>
      <c r="G18" s="1044">
        <f>SUBTOTAL(9,G15:G17)</f>
        <v>6534</v>
      </c>
      <c r="H18" s="1078">
        <f>SUBTOTAL(9,H15:H17)</f>
        <v>0</v>
      </c>
      <c r="I18" s="1057">
        <f>SUBTOTAL(9,I15:I17)</f>
        <v>0</v>
      </c>
      <c r="J18" s="1013">
        <f>SUBTOTAL(9,J14:J17)</f>
        <v>0</v>
      </c>
      <c r="K18" s="1078">
        <f t="shared" ref="K18:S18" si="4">SUBTOTAL(9,K15:K17)</f>
        <v>0</v>
      </c>
      <c r="L18" s="1078">
        <f t="shared" si="4"/>
        <v>0</v>
      </c>
      <c r="M18" s="1078">
        <f t="shared" si="4"/>
        <v>0</v>
      </c>
      <c r="N18" s="1078">
        <f t="shared" si="4"/>
        <v>24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3928</v>
      </c>
      <c r="Z18" s="1078">
        <f t="shared" si="5"/>
        <v>56</v>
      </c>
      <c r="AA18" s="1078">
        <f t="shared" si="5"/>
        <v>6770</v>
      </c>
      <c r="AB18" s="1078">
        <f t="shared" si="5"/>
        <v>0</v>
      </c>
      <c r="AC18" s="1078">
        <f t="shared" si="5"/>
        <v>0</v>
      </c>
      <c r="AD18" s="1078">
        <f t="shared" si="5"/>
        <v>0</v>
      </c>
      <c r="AE18" s="1078">
        <f t="shared" si="5"/>
        <v>330</v>
      </c>
      <c r="AF18" s="1078">
        <f t="shared" si="5"/>
        <v>0</v>
      </c>
      <c r="AG18" s="1078">
        <f t="shared" si="5"/>
        <v>0</v>
      </c>
      <c r="AH18" s="1078">
        <f t="shared" si="5"/>
        <v>0</v>
      </c>
      <c r="AI18" s="1078">
        <f t="shared" si="5"/>
        <v>0</v>
      </c>
      <c r="AJ18" s="1078">
        <f t="shared" si="5"/>
        <v>364</v>
      </c>
      <c r="AK18" s="1078">
        <f t="shared" si="5"/>
        <v>2547</v>
      </c>
      <c r="AL18" s="1078">
        <f t="shared" si="5"/>
        <v>0</v>
      </c>
      <c r="AM18" s="1078">
        <f t="shared" si="5"/>
        <v>0</v>
      </c>
      <c r="AN18" s="1078">
        <f t="shared" si="5"/>
        <v>0</v>
      </c>
      <c r="AO18" s="1080">
        <f>IF(ISNUMBER(((NºAsuntos!I18/NºAsuntos!G18)*11)/factor_trimestre),((NºAsuntos!I18/NºAsuntos!G18)*11)/factor_trimestre," - ")</f>
        <v>3.4470468431771892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6516</v>
      </c>
      <c r="G19" s="966">
        <f t="shared" si="7"/>
        <v>6597</v>
      </c>
      <c r="H19" s="967">
        <f t="shared" si="7"/>
        <v>0</v>
      </c>
      <c r="I19" s="966">
        <f t="shared" si="7"/>
        <v>0</v>
      </c>
      <c r="J19" s="968">
        <f t="shared" si="7"/>
        <v>0</v>
      </c>
      <c r="K19" s="966">
        <f t="shared" si="7"/>
        <v>0</v>
      </c>
      <c r="L19" s="969">
        <f t="shared" si="7"/>
        <v>0</v>
      </c>
      <c r="M19" s="966">
        <f t="shared" si="7"/>
        <v>0</v>
      </c>
      <c r="N19" s="967">
        <f t="shared" si="7"/>
        <v>932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3950</v>
      </c>
      <c r="Z19" s="973">
        <f t="shared" si="8"/>
        <v>1386</v>
      </c>
      <c r="AA19" s="974">
        <f t="shared" si="8"/>
        <v>6848</v>
      </c>
      <c r="AB19" s="974">
        <f t="shared" si="8"/>
        <v>0</v>
      </c>
      <c r="AC19" s="974">
        <f t="shared" si="8"/>
        <v>0</v>
      </c>
      <c r="AD19" s="975">
        <f t="shared" si="8"/>
        <v>0</v>
      </c>
      <c r="AE19" s="975">
        <f t="shared" si="8"/>
        <v>14978</v>
      </c>
      <c r="AF19" s="976">
        <f t="shared" si="8"/>
        <v>0</v>
      </c>
      <c r="AG19" s="977">
        <f t="shared" si="8"/>
        <v>0</v>
      </c>
      <c r="AH19" s="978">
        <f t="shared" si="8"/>
        <v>0</v>
      </c>
      <c r="AI19" s="976">
        <f t="shared" si="8"/>
        <v>0</v>
      </c>
      <c r="AJ19" s="966">
        <f t="shared" si="8"/>
        <v>1017</v>
      </c>
      <c r="AK19" s="966">
        <f t="shared" si="8"/>
        <v>4103</v>
      </c>
      <c r="AL19" s="966">
        <f t="shared" si="8"/>
        <v>0</v>
      </c>
      <c r="AM19" s="979">
        <f t="shared" si="8"/>
        <v>0</v>
      </c>
      <c r="AN19" s="969">
        <f>IF(ISNUMBER(Datos!K19/Datos!J19),Datos!K19/Datos!J19," - ")</f>
        <v>0.88498727735368954</v>
      </c>
      <c r="AO19" s="969">
        <f>IF(ISNUMBER(FIND("06",Criterios!A8,1)),(IF(ISNUMBER(((Datos!R19/Datos!Q19)*11)/factor_trimestre),((Datos!R19/Datos!Q19)*11)/factor_trimestre," - ")),(IF(ISNUMBER(((Datos!L19/Datos!K19)*11)/factor_trimestre),((Datos!L19/Datos!K19)*11)/factor_trimestre," - ")))</f>
        <v>4.9068430132259921</v>
      </c>
      <c r="AP19" s="980" t="str">
        <f>IF(ISNUMBER(Datos!CI19/Datos!CJ19),Datos!CI19/Datos!CJ19," - ")</f>
        <v xml:space="preserve"> - </v>
      </c>
      <c r="AQ19" s="980">
        <f>IF(OR(ISNUMBER(FIND("01",Criterios!A8,1)),ISNUMBER(FIND("02",Criterios!A8,1)),ISNUMBER(FIND("03",Criterios!A8,1)),ISNUMBER(FIND("04",Criterios!A8,1))),(J19-Y19+K19)/(F19-K19),(I19-Y19+K19)/(F19-K19))</f>
        <v>-0.60620012277470836</v>
      </c>
      <c r="AR19" s="980">
        <f>IF(ISNUMBER((Datos!P19-Datos!Q19+O19)/(Datos!R19-Datos!P19+Datos!Q19-O19)),(Datos!P19-Datos!Q19+O19)/(Datos!R19-Datos!P19+Datos!Q19-O19)," - ")</f>
        <v>-2.9419388284085017E-2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2638.8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3689.2682201217085</v>
      </c>
      <c r="G21" s="600">
        <f>IF(ISNUMBER(STDEV(G8:G18)),STDEV(G8:G18),"-")</f>
        <v>3513.0899077592649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262.85031047020988</v>
      </c>
      <c r="AK21" s="256"/>
      <c r="AL21" s="256">
        <f>IF(ISNUMBER(STDEV(AL8:AL18)),STDEV(AL8:AL18),"-")</f>
        <v>0</v>
      </c>
      <c r="AM21" s="258">
        <f>IF(ISNUMBER(STDEV(AM8:AM18)),STDEV(AM8:AM18),"-")</f>
        <v>0</v>
      </c>
      <c r="AN21" s="586">
        <f>IF(ISNUMBER(STDEV(AN8:AN18)),STDEV(AN8:AN18),"-")</f>
        <v>0</v>
      </c>
      <c r="AO21" s="587">
        <f>IF(ISNUMBER(STDEV(AO8:AO18)),STDEV(AO8:AO18),"-")</f>
        <v>2.1987505074142311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JJUPgW4VQte/ziv82HVK+767ZTLQBjYRo6H8VUt95Svk1kQiXkRRpny3WnO8RKQAVASwcgV7a3odRbV4BTGaoA==" saltValue="U8V/FwnoOdbPfjgThcMro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V2Mq0bbINoy07OUHtWBGxMqfeJcGtlTGVjXMXlQ85LuPC2bispD2mVjMi5nIE2S4E9/X+T5fJ6xSJYuaLaXEaQ==" saltValue="aVl7MgpD/q+ByLIqGYSD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DfiHF51yz0KsuDn5ndc7dcFdzZ9cavuZ/CSulps8QVKY7hQMXmo2ZSbGNKJZAGQ9jId5veJbxzOPMaU1+5kfA==" saltValue="E8AhESaY9FNb4Z5gh4ur9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GRANOLLERS</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0.19574340527577938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0.13841148924305022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BJuZH8jqfq8K9NYsx/n3Xag2dR+TYFGx/sK/s2sBSPzmheEK7eLk5cPgvhy/orUGAi3syCESC3aR3scLnPcUBQ==" saltValue="T58BX+cPTKEuU4etZXHGm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9mQ25K+dblNaGXXSrGfq08qTDlYMwu+GHpdCJh9IigYtzHQqMnVYSi0w3QpfpJuyXbZwgyvnzHebA4IUM74jw==" saltValue="xsD/+bQBjV0oV3sojqLc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GRANOLLERS</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8</v>
      </c>
      <c r="C9" s="414">
        <f>IF(ISNUMBER(IF(J_V="SI",Datos!I9,Datos!I9+Datos!Y9)),IF(J_V="SI",Datos!I9,Datos!I9+Datos!Y9)," - ")</f>
        <v>8508</v>
      </c>
      <c r="D9" s="415">
        <f>IF(ISNUMBER(C9/Datos!BH9),C9/Datos!BH9," - ")</f>
        <v>1215.4285714285713</v>
      </c>
      <c r="E9" s="414">
        <f>IF(ISNUMBER(IF(J_V="SI",Datos!J9,Datos!J9+Datos!Z9)),IF(J_V="SI",Datos!J9,Datos!J9+Datos!Z9)," - ")</f>
        <v>3384</v>
      </c>
      <c r="F9" s="415">
        <f>IF(ISNUMBER(E9/B9),E9/B9," - ")</f>
        <v>423</v>
      </c>
      <c r="G9" s="414">
        <f>IF(ISNUMBER(IF(J_V="SI",Datos!K9,Datos!K9+Datos!AA9)),IF(J_V="SI",Datos!K9,Datos!K9+Datos!AA9)," - ")</f>
        <v>2764</v>
      </c>
      <c r="H9" s="415">
        <f>IF(ISNUMBER(G9/B9),G9/B9," - ")</f>
        <v>345.5</v>
      </c>
      <c r="I9" s="414">
        <f>IF(ISNUMBER(IF(J_V="SI",Datos!L9,Datos!L9+Datos!AB9)),IF(J_V="SI",Datos!L9,Datos!L9+Datos!AB9)," - ")</f>
        <v>9151</v>
      </c>
      <c r="J9" s="415">
        <f>IF(ISNUMBER(I9/B9),I9/B9," - ")</f>
        <v>1143.875</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63</v>
      </c>
      <c r="D10" s="415">
        <f>IF(ISNUMBER(C10/Datos!BH10),C10/Datos!BH10," - ")</f>
        <v>63</v>
      </c>
      <c r="E10" s="414">
        <f>IF(ISNUMBER(Datos!J10),Datos!J10," - ")</f>
        <v>37</v>
      </c>
      <c r="F10" s="415">
        <f>IF(ISNUMBER(E10/B10),E10/B10," - ")</f>
        <v>37</v>
      </c>
      <c r="G10" s="414">
        <f>IF(ISNUMBER(Datos!K10),Datos!K10," - ")</f>
        <v>22</v>
      </c>
      <c r="H10" s="415">
        <f>IF(ISNUMBER(G10/B10),G10/B10," - ")</f>
        <v>22</v>
      </c>
      <c r="I10" s="414">
        <f>IF(ISNUMBER(Datos!L10),Datos!L10," - ")</f>
        <v>78</v>
      </c>
      <c r="J10" s="415">
        <f>IF(ISNUMBER(I10/B10),I10/B10," - ")</f>
        <v>78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2</v>
      </c>
      <c r="C11" s="414">
        <f>IF(ISNUMBER(IF(J_V="SI",Datos!I11,Datos!I11+Datos!Y11)),IF(J_V="SI",Datos!I11,Datos!I11+Datos!Y11)," - ")</f>
        <v>1268</v>
      </c>
      <c r="D11" s="415">
        <f>IF(ISNUMBER(C11/Datos!BH11),C11/Datos!BH11," - ")</f>
        <v>634</v>
      </c>
      <c r="E11" s="414">
        <f>IF(ISNUMBER(IF(J_V="SI",Datos!J11,Datos!J11+Datos!Z11)),IF(J_V="SI",Datos!J11,Datos!J11+Datos!Z11)," - ")</f>
        <v>513</v>
      </c>
      <c r="F11" s="415">
        <f>IF(ISNUMBER(E11/B11),E11/B11," - ")</f>
        <v>256.5</v>
      </c>
      <c r="G11" s="414">
        <f>IF(ISNUMBER(IF(J_V="SI",Datos!K11,Datos!K11+Datos!AA11)),IF(J_V="SI",Datos!K11,Datos!K11+Datos!AA11)," - ")</f>
        <v>550</v>
      </c>
      <c r="H11" s="415">
        <f>IF(ISNUMBER(G11/B11),G11/B11," - ")</f>
        <v>275</v>
      </c>
      <c r="I11" s="414">
        <f>IF(ISNUMBER(IF(J_V="SI",Datos!L11,Datos!L11+Datos!AB11)),IF(J_V="SI",Datos!L11,Datos!L11+Datos!AB11)," - ")</f>
        <v>1231</v>
      </c>
      <c r="J11" s="415">
        <f>IF(ISNUMBER(I11/B11),I11/B11," - ")</f>
        <v>615.5</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0</v>
      </c>
      <c r="C12" s="414" t="str">
        <f>IF(ISNUMBER(IF(J_V="SI",Datos!I12,Datos!I12+Datos!Y12)),IF(J_V="SI",Datos!I12,Datos!I12+Datos!Y12)," - ")</f>
        <v xml:space="preserve"> - </v>
      </c>
      <c r="D12" s="415" t="str">
        <f>IF(ISNUMBER(C12/Datos!BH12),C12/Datos!BH12," - ")</f>
        <v xml:space="preserve"> - </v>
      </c>
      <c r="E12" s="414" t="str">
        <f>IF(ISNUMBER(IF(J_V="SI",Datos!J12,Datos!J12+Datos!Z12)),IF(J_V="SI",Datos!J12,Datos!J12+Datos!Z12)," - ")</f>
        <v xml:space="preserve"> - </v>
      </c>
      <c r="F12" s="415" t="str">
        <f>IF(ISNUMBER(E12/B12),E12/B12," - ")</f>
        <v xml:space="preserve"> - </v>
      </c>
      <c r="G12" s="414" t="str">
        <f>IF(ISNUMBER(IF(J_V="SI",Datos!K12,Datos!K12+Datos!AA12)),IF(J_V="SI",Datos!K12,Datos!K12+Datos!AA12)," - ")</f>
        <v xml:space="preserve"> - </v>
      </c>
      <c r="H12" s="415" t="str">
        <f>IF(ISNUMBER(G12/B12),G12/B12," - ")</f>
        <v xml:space="preserve"> - </v>
      </c>
      <c r="I12" s="414" t="str">
        <f>IF(ISNUMBER(IF(J_V="SI",Datos!L12,Datos!L12+Datos!AB12)),IF(J_V="SI",Datos!L12,Datos!L12+Datos!AB12)," - ")</f>
        <v xml:space="preserve"> - </v>
      </c>
      <c r="J12" s="415" t="str">
        <f>IF(ISNUMBER(I12/B12),I12/B12," - ")</f>
        <v xml:space="preserve"> - </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11</v>
      </c>
      <c r="C13" s="995">
        <f>SUBTOTAL(9,C8:C12)</f>
        <v>9839</v>
      </c>
      <c r="D13" s="996" t="str">
        <f>IF(ISNUMBER(C13/Datos!BI13),C13/Datos!BI13," - ")</f>
        <v xml:space="preserve"> - </v>
      </c>
      <c r="E13" s="995">
        <f>SUBTOTAL(9,E8:E12)</f>
        <v>3934</v>
      </c>
      <c r="F13" s="996">
        <f>IF(ISNUMBER(E13/B13),E13/B13," - ")</f>
        <v>357.63636363636363</v>
      </c>
      <c r="G13" s="995">
        <f>SUBTOTAL(9,G8:G12)</f>
        <v>3336</v>
      </c>
      <c r="H13" s="996">
        <f>IF(ISNUMBER(G13/B13),G13/B13," - ")</f>
        <v>303.27272727272725</v>
      </c>
      <c r="I13" s="995">
        <f>SUBTOTAL(9,I8:I12)</f>
        <v>10460</v>
      </c>
      <c r="J13" s="996">
        <f>IF(ISNUMBER(I13/B13),I13/B13," - ")</f>
        <v>950.90909090909088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4</v>
      </c>
      <c r="C15" s="414">
        <f>IF(ISNUMBER(IF(D_I="SI",Datos!I15,Datos!I15+Datos!AC15)),IF(D_I="SI",Datos!I15,Datos!I15+Datos!AC15)," - ")</f>
        <v>6440</v>
      </c>
      <c r="D15" s="415">
        <f>IF(ISNUMBER(C15/Datos!BH15),C15/Datos!BH15," - ")</f>
        <v>1610</v>
      </c>
      <c r="E15" s="414">
        <f>IF(ISNUMBER(IF(D_I="SI",Datos!J15,Datos!J15+Datos!AD15)),IF(D_I="SI",Datos!J15,Datos!J15+Datos!AD15)," - ")</f>
        <v>3823</v>
      </c>
      <c r="F15" s="415">
        <f>IF(ISNUMBER(E15/B15),E15/B15," - ")</f>
        <v>955.75</v>
      </c>
      <c r="G15" s="414">
        <f>IF(ISNUMBER(IF(D_I="SI",Datos!K15,Datos!K15+Datos!AE15)),IF(D_I="SI",Datos!K15,Datos!K15+Datos!AE15)," - ")</f>
        <v>3637</v>
      </c>
      <c r="H15" s="415">
        <f>IF(ISNUMBER(G15/B15),G15/B15," - ")</f>
        <v>909.25</v>
      </c>
      <c r="I15" s="414">
        <f>IF(ISNUMBER(IF(D_I="SI",Datos!L15,Datos!L15+Datos!AF15)),IF(D_I="SI",Datos!L15,Datos!L15+Datos!AF15)," - ")</f>
        <v>6639</v>
      </c>
      <c r="J15" s="415">
        <f>IF(ISNUMBER(I15/B15),I15/B15," - ")</f>
        <v>1659.75</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0</v>
      </c>
      <c r="C16" s="414" t="str">
        <f>IF(ISNUMBER(IF(D_I="SI",Datos!I16,Datos!I16+Datos!AC16)),IF(D_I="SI",Datos!I16,Datos!I16+Datos!AC16)," - ")</f>
        <v xml:space="preserve"> - </v>
      </c>
      <c r="D16" s="415" t="str">
        <f>IF(ISNUMBER(C16/Datos!BH16),C16/Datos!BH16," - ")</f>
        <v xml:space="preserve"> - </v>
      </c>
      <c r="E16" s="414" t="str">
        <f>IF(ISNUMBER(IF(D_I="SI",Datos!J16,Datos!J16+Datos!AD16)),IF(D_I="SI",Datos!J16,Datos!J16+Datos!AD16)," - ")</f>
        <v xml:space="preserve"> - </v>
      </c>
      <c r="F16" s="415" t="str">
        <f>IF(ISNUMBER(E16/B16),E16/B16," - ")</f>
        <v xml:space="preserve"> - </v>
      </c>
      <c r="G16" s="414" t="str">
        <f>IF(ISNUMBER(IF(D_I="SI",Datos!K16,Datos!K16+Datos!AE16)),IF(D_I="SI",Datos!K16,Datos!K16+Datos!AE16)," - ")</f>
        <v xml:space="preserve"> - </v>
      </c>
      <c r="H16" s="415" t="str">
        <f>IF(ISNUMBER(G16/B16),G16/B16," - ")</f>
        <v xml:space="preserve"> - </v>
      </c>
      <c r="I16" s="414" t="str">
        <f>IF(ISNUMBER(IF(D_I="SI",Datos!L16,Datos!L16+Datos!AF16)),IF(D_I="SI",Datos!L16,Datos!L16+Datos!AF16)," - ")</f>
        <v xml:space="preserve"> - </v>
      </c>
      <c r="J16" s="415" t="str">
        <f>IF(ISNUMBER(I16/B16),I16/B16," - ")</f>
        <v xml:space="preserve"> - </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94</v>
      </c>
      <c r="D17" s="415">
        <f>IF(ISNUMBER(C17/Datos!BH17),C17/Datos!BH17," - ")</f>
        <v>94</v>
      </c>
      <c r="E17" s="414">
        <f>IF(ISNUMBER(IF(D_I="SI",Datos!J17,Datos!J17+Datos!AD17)),IF(D_I="SI",Datos!J17,Datos!J17+Datos!AD17)," - ")</f>
        <v>328</v>
      </c>
      <c r="F17" s="415">
        <f>IF(ISNUMBER(E17/B17),E17/B17," - ")</f>
        <v>328</v>
      </c>
      <c r="G17" s="414">
        <f>IF(ISNUMBER(IF(D_I="SI",Datos!K17,Datos!K17+Datos!AE17)),IF(D_I="SI",Datos!K17,Datos!K17+Datos!AE17)," - ")</f>
        <v>291</v>
      </c>
      <c r="H17" s="415">
        <f>IF(ISNUMBER(G17/B17),G17/B17," - ")</f>
        <v>291</v>
      </c>
      <c r="I17" s="414">
        <f>IF(ISNUMBER(IF(D_I="SI",Datos!L17,Datos!L17+Datos!AF17)),IF(D_I="SI",Datos!L17,Datos!L17+Datos!AF17)," - ")</f>
        <v>131</v>
      </c>
      <c r="J17" s="415">
        <f>IF(ISNUMBER(I17/B17),I17/B17," - ")</f>
        <v>131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5</v>
      </c>
      <c r="C18" s="995">
        <f>SUBTOTAL(9,C14:C17)</f>
        <v>6534</v>
      </c>
      <c r="D18" s="996" t="str">
        <f>IF(ISNUMBER(C18/Datos!BI18),C18/Datos!BI18," - ")</f>
        <v xml:space="preserve"> - </v>
      </c>
      <c r="E18" s="995">
        <f>SUBTOTAL(9,E14:E17)</f>
        <v>4151</v>
      </c>
      <c r="F18" s="996">
        <f>IF(ISNUMBER(E18/B18),E18/B18," - ")</f>
        <v>830.2</v>
      </c>
      <c r="G18" s="995">
        <f>SUBTOTAL(9,G14:G17)</f>
        <v>3928</v>
      </c>
      <c r="H18" s="996">
        <f>IF(ISNUMBER(G18/B18),G18/B18," - ")</f>
        <v>785.6</v>
      </c>
      <c r="I18" s="995">
        <f>SUBTOTAL(9,I14:I17)</f>
        <v>6770</v>
      </c>
      <c r="J18" s="996">
        <f>IF(ISNUMBER(I18/B18),I18/B18," - ")</f>
        <v>1354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15</v>
      </c>
      <c r="C19" s="940">
        <f>SUBTOTAL(9,C9:C18)</f>
        <v>16373</v>
      </c>
      <c r="D19" s="941" t="str">
        <f>IF(ISNUMBER(C19/Datos!BI19),C19/Datos!BI19," - ")</f>
        <v xml:space="preserve"> - </v>
      </c>
      <c r="E19" s="940">
        <f>SUBTOTAL(9,E9:E18)</f>
        <v>8085</v>
      </c>
      <c r="F19" s="941">
        <f>IF(ISNUMBER(E19/B19),E19/B19," - ")</f>
        <v>539</v>
      </c>
      <c r="G19" s="940">
        <f>SUBTOTAL(9,G9:G18)</f>
        <v>7264</v>
      </c>
      <c r="H19" s="941">
        <f>IF(ISNUMBER(G19/B19),G19/B19," - ")</f>
        <v>484.26666666666665</v>
      </c>
      <c r="I19" s="940">
        <f>SUBTOTAL(9,I9:I18)</f>
        <v>17230</v>
      </c>
      <c r="J19" s="941">
        <f>IF(ISNUMBER(I19/B19),I19/B19," - ")</f>
        <v>1148.6666666666667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gQXRyvMuLbSoyhf/fbv9q8Y3/Z0qgs3UBgR7FhDfWRk/eoTutXcnXUMPhKS7zDj6/nhw14Zhr/ckEtrxi+4zg==" saltValue="RBR2VOOORPlnlyM93S6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GRANOLLERS</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8</v>
      </c>
      <c r="B9" s="652" t="s">
        <v>249</v>
      </c>
      <c r="C9" s="670" t="str">
        <f>Datos!A9</f>
        <v xml:space="preserve">Jdos. 1ª Instancia   </v>
      </c>
      <c r="D9" s="543"/>
      <c r="E9" s="800">
        <f>IF(ISNUMBER(Datos!AQ9),Datos!AQ9," - ")</f>
        <v>8</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1</v>
      </c>
      <c r="F10" s="801">
        <f>IF(ISNUMBER(Datos!L10+Datos!K10-Datos!J10),Datos!L10+Datos!K10-Datos!J10," - ")</f>
        <v>63</v>
      </c>
      <c r="G10" s="802">
        <f>IF(ISNUMBER(Datos!I10),Datos!I10," - ")</f>
        <v>63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8</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22</v>
      </c>
      <c r="AC10" s="801" t="str">
        <f>IF(ISNUMBER(IF(D_I="SI",DatosP!K17,DatosP!K17+DatosP!AE17)),IF(D_I="SI",DatosP!K17,DatosP!K17+DatosP!AE17)," - ")</f>
        <v xml:space="preserve"> - </v>
      </c>
      <c r="AD10" s="803"/>
      <c r="AE10" s="803"/>
      <c r="AF10" s="806">
        <f>IF(ISNUMBER(Datos!L10),Datos!L10,"-")</f>
        <v>78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11</v>
      </c>
      <c r="AM10" s="810">
        <f>IF(ISNUMBER(Datos!N10+DatosP!N17),Datos!N10+DatosP!N17," - ")</f>
        <v>10</v>
      </c>
      <c r="AN10" s="810">
        <f>IF(ISNUMBER(Datos!BW10+DatosP!BW17),Datos!BW10+DatosP!BW17," - ")</f>
        <v>0</v>
      </c>
      <c r="AO10" s="811">
        <f>IF(ISNUMBER(Datos!BX10+DatosP!BX17),Datos!BX10+DatosP!BX17," - ")</f>
        <v>0</v>
      </c>
      <c r="AP10" s="813">
        <f>IF(ISNUMBER(((Datos!L10/Datos!K10)*11)/factor_trimestre),((Datos!L10/Datos!K10)*11)/factor_trimestre," - ")</f>
        <v>7.0909090909090908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2</v>
      </c>
      <c r="B11" s="653" t="s">
        <v>249</v>
      </c>
      <c r="C11" s="654" t="str">
        <f>Datos!A11</f>
        <v xml:space="preserve">Jdos. Familia                                   </v>
      </c>
      <c r="D11" s="548"/>
      <c r="E11" s="800">
        <f>IF(ISNUMBER(Datos!AQ11),Datos!AQ11," - ")</f>
        <v>2</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0</v>
      </c>
      <c r="B12" s="653" t="s">
        <v>249</v>
      </c>
      <c r="C12" s="654" t="str">
        <f>Datos!A12</f>
        <v xml:space="preserve">Jdos. 1ª Instª. e Instr.                        </v>
      </c>
      <c r="D12" s="548"/>
      <c r="E12" s="800">
        <f>IF(ISNUMBER(Datos!AQ12),Datos!AQ12," - ")</f>
        <v>0</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0</v>
      </c>
      <c r="O12" s="803">
        <f>IF(ISNUMBER(DatosP!P16),DatosP!P16,0)</f>
        <v>0</v>
      </c>
      <c r="P12" s="803" t="str">
        <f>IF(ISNUMBER(DatosP!DE16),DatosP!DE16," - ")</f>
        <v xml:space="preserve"> - </v>
      </c>
      <c r="Q12" s="804"/>
      <c r="R12" s="804"/>
      <c r="S12" s="803" t="str">
        <f>IF(ISNUMBER(Datos!AS12*(2500/380)+DatosP!AS16),Datos!AS12*(2500/380)+DatosP!AS16," - ")</f>
        <v xml:space="preserve"> - </v>
      </c>
      <c r="T12" s="803" t="str">
        <f>IF(ISNUMBER(DatosP!AS16/E12),DatosP!AS16/E12," - ")</f>
        <v xml:space="preserve"> - </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t="str">
        <f>IF(ISNUMBER(Datos!Q12),Datos!Q12," - ")</f>
        <v xml:space="preserve"> - </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t="str">
        <f>IF(ISNUMBER(Datos!R12),Datos!R12," - ")</f>
        <v xml:space="preserve"> - </v>
      </c>
      <c r="AI12" s="807" t="str">
        <f>IF(ISNUMBER(DatosP!R16),DatosP!R16," - ")</f>
        <v xml:space="preserve"> - </v>
      </c>
      <c r="AJ12" s="800">
        <f>IF(ISNUMBER(Datos!BV12+DatosP!BV16),Datos!BV12+DatosP!BV16," - ")</f>
        <v>0</v>
      </c>
      <c r="AK12" s="808" t="str">
        <f>IF(ISNUMBER(Datos!DV12),Datos!DV12," - ")</f>
        <v xml:space="preserve"> - </v>
      </c>
      <c r="AL12" s="801" t="str">
        <f>IF(ISNUMBER(Datos!M12+DatosP!M16),Datos!M12+DatosP!M16," - ")</f>
        <v xml:space="preserve"> - </v>
      </c>
      <c r="AM12" s="810" t="str">
        <f>IF(ISNUMBER(Datos!N12+DatosP!N16),Datos!N12+DatosP!N16," - ")</f>
        <v xml:space="preserve"> - </v>
      </c>
      <c r="AN12" s="810">
        <f>IF(ISNUMBER(Datos!BW12+DatosP!BW16),Datos!BW12+DatosP!BW16," - ")</f>
        <v>0</v>
      </c>
      <c r="AO12" s="811">
        <f>IF(ISNUMBER(Datos!BX12+DatosP!BX16),Datos!BX12+DatosP!BX16," - ")</f>
        <v>0</v>
      </c>
      <c r="AP12" s="813" t="str">
        <f>IF(ISNUMBER(((IF(J_V="SI",Datos!L12/Datos!K12,(Datos!L12+Datos!AB12)/(Datos!K12+Datos!AA12)))*11)/factor_trimestre),((IF(J_V="SI",Datos!L12/Datos!K12,(Datos!L12+Datos!AB12)/(Datos!K12+Datos!AA12)))*11)/factor_trimestre," - ")</f>
        <v xml:space="preserve"> - </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t="str">
        <f>IF(ISNUMBER((Datos!P12-Datos!Q12+Datos!DE12)/(Datos!R12-Datos!P12+Datos!Q12-Datos!DE12)),(Datos!P12-Datos!Q12+Datos!DE12)/(Datos!R12-Datos!P12+Datos!Q12-Datos!DE12)," - ")</f>
        <v xml:space="preserve"> - </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11</v>
      </c>
      <c r="F13" s="1084">
        <f t="shared" si="0"/>
        <v>63</v>
      </c>
      <c r="G13" s="1084">
        <f t="shared" si="0"/>
        <v>63</v>
      </c>
      <c r="H13" s="1084">
        <f t="shared" si="0"/>
        <v>0</v>
      </c>
      <c r="I13" s="1086">
        <f t="shared" si="0"/>
        <v>0</v>
      </c>
      <c r="J13" s="1085">
        <f t="shared" si="0"/>
        <v>0</v>
      </c>
      <c r="K13" s="1085">
        <f t="shared" si="0"/>
        <v>0</v>
      </c>
      <c r="L13" s="1087">
        <f t="shared" si="0"/>
        <v>0</v>
      </c>
      <c r="M13" s="1087">
        <f t="shared" si="0"/>
        <v>0</v>
      </c>
      <c r="N13" s="1085">
        <f t="shared" si="0"/>
        <v>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22</v>
      </c>
      <c r="AC13" s="1085">
        <f t="shared" si="1"/>
        <v>0</v>
      </c>
      <c r="AD13" s="1085">
        <f t="shared" si="1"/>
        <v>0</v>
      </c>
      <c r="AE13" s="1085">
        <f t="shared" si="1"/>
        <v>0</v>
      </c>
      <c r="AF13" s="1085">
        <f t="shared" si="1"/>
        <v>78</v>
      </c>
      <c r="AG13" s="1085">
        <f t="shared" si="1"/>
        <v>0</v>
      </c>
      <c r="AH13" s="1085">
        <f t="shared" si="1"/>
        <v>0</v>
      </c>
      <c r="AI13" s="1085">
        <f t="shared" si="1"/>
        <v>0</v>
      </c>
      <c r="AJ13" s="1085">
        <f t="shared" si="1"/>
        <v>0</v>
      </c>
      <c r="AK13" s="1085">
        <f t="shared" si="1"/>
        <v>0</v>
      </c>
      <c r="AL13" s="1085">
        <f t="shared" si="1"/>
        <v>11</v>
      </c>
      <c r="AM13" s="1085">
        <f t="shared" si="1"/>
        <v>10</v>
      </c>
      <c r="AN13" s="1085">
        <f t="shared" si="1"/>
        <v>0</v>
      </c>
      <c r="AO13" s="1085">
        <f t="shared" si="1"/>
        <v>0</v>
      </c>
      <c r="AP13" s="1090">
        <f>IF(ISNUMBER(((Datos!L13/Datos!K13)*11)/factor_trimestre),((Datos!L13/Datos!K13)*11)/factor_trimestre," - ")</f>
        <v>6.800528401585205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-0.34920634920634919</v>
      </c>
      <c r="AU13" s="1085" t="str">
        <f>IF(ISNUMBER((DatosP!#REF!-DatosP!#REF!+DatosP!#REF!)/(DatosP!#REF!+DatosP!#REF!-DatosP!#REF!-DatosP!#REF!)),(DatosP!#REF!-DatosP!#REF!+DatosP!#REF!)/(DatosP!#REF!+DatosP!#REF!-DatosP!#REF!-DatosP!#REF!)," - ")</f>
        <v xml:space="preserve"> - </v>
      </c>
      <c r="AV13" s="1091">
        <f>SUBTOTAL(9,AV9:AV12)</f>
        <v>0</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4</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0</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3.4470468431771892</v>
      </c>
      <c r="AQ18" s="1090">
        <f>IF(ISNUMBER(((Datos!M18/Datos!L18)*11)/factor_trimestre),((Datos!M18/Datos!L18)*11)/factor_trimestre," - ")</f>
        <v>0.10753323485967504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-8.8397790055248615E-2</v>
      </c>
      <c r="AW18" s="1092">
        <f>IF(ISNUMBER((Datos!Q18-Datos!R18)/(Datos!S18-Datos!Q18+Datos!R18)),(Datos!Q18-Datos!R18)/(Datos!S18-Datos!Q18+Datos!R18)," - ")</f>
        <v>-4.6456425907087151E-2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11</v>
      </c>
      <c r="F19" s="1097">
        <f t="shared" si="4"/>
        <v>63</v>
      </c>
      <c r="G19" s="1097">
        <f t="shared" si="4"/>
        <v>63</v>
      </c>
      <c r="H19" s="1097">
        <f t="shared" si="4"/>
        <v>0</v>
      </c>
      <c r="I19" s="1098">
        <f t="shared" si="4"/>
        <v>0</v>
      </c>
      <c r="J19" s="1099">
        <f t="shared" si="4"/>
        <v>0</v>
      </c>
      <c r="K19" s="1099">
        <f t="shared" si="4"/>
        <v>0</v>
      </c>
      <c r="L19" s="1099">
        <f t="shared" si="4"/>
        <v>0</v>
      </c>
      <c r="M19" s="1099">
        <f t="shared" si="4"/>
        <v>0</v>
      </c>
      <c r="N19" s="1098">
        <f t="shared" si="4"/>
        <v>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22</v>
      </c>
      <c r="AC19" s="1103">
        <f t="shared" si="5"/>
        <v>0</v>
      </c>
      <c r="AD19" s="1103">
        <f t="shared" si="5"/>
        <v>0</v>
      </c>
      <c r="AE19" s="1103">
        <f t="shared" si="5"/>
        <v>0</v>
      </c>
      <c r="AF19" s="1104">
        <f t="shared" si="5"/>
        <v>78</v>
      </c>
      <c r="AG19" s="1104">
        <f t="shared" si="5"/>
        <v>0</v>
      </c>
      <c r="AH19" s="1104">
        <f t="shared" si="5"/>
        <v>0</v>
      </c>
      <c r="AI19" s="1104">
        <f t="shared" si="5"/>
        <v>0</v>
      </c>
      <c r="AJ19" s="1105">
        <f t="shared" si="5"/>
        <v>0</v>
      </c>
      <c r="AK19" s="1105">
        <f t="shared" si="5"/>
        <v>0</v>
      </c>
      <c r="AL19" s="1097">
        <f t="shared" si="5"/>
        <v>11</v>
      </c>
      <c r="AM19" s="1097">
        <f t="shared" si="5"/>
        <v>10</v>
      </c>
      <c r="AN19" s="1097">
        <f t="shared" si="5"/>
        <v>0</v>
      </c>
      <c r="AO19" s="1097">
        <f t="shared" si="5"/>
        <v>0</v>
      </c>
      <c r="AP19" s="1097">
        <f>IF(ISNUMBER(((Datos!L19/Datos!K19)*11)/factor_trimestre),((Datos!L19/Datos!K19)*11)/factor_trimestre," - ")</f>
        <v>4.9068430132259921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-0.34920634920634919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-2.9419388284085017E-2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4.6761807778000488</v>
      </c>
      <c r="F21" s="869">
        <f>IF(ISNUMBER(STDEV(F8:F18)),STDEV(F8:F18),"-")</f>
        <v>36.373066958946424</v>
      </c>
      <c r="G21" s="870">
        <f>IF(ISNUMBER(STDEV(G8:G18)),STDEV(G8:G18),"-")</f>
        <v>36.373066958946424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12.701705922171765</v>
      </c>
      <c r="AC21" s="871">
        <f>IF(ISNUMBER(STDEV(AC8:AC18)),STDEV(AC8:AC18),"-")</f>
        <v>0</v>
      </c>
      <c r="AD21" s="874"/>
      <c r="AE21" s="874"/>
      <c r="AF21" s="874"/>
      <c r="AG21" s="874"/>
      <c r="AH21" s="874"/>
      <c r="AI21" s="874"/>
      <c r="AJ21" s="875">
        <f>IF(ISNUMBER(STDEV(AJ8:AJ18)),STDEV(AJ8:AJ18),"-")</f>
        <v>0</v>
      </c>
      <c r="AK21" s="877"/>
      <c r="AL21" s="869">
        <f>IF(ISNUMBER(STDEV(AL8:AL18)),STDEV(AL8:AL18),"-")</f>
        <v>6.3508529610858826</v>
      </c>
      <c r="AM21" s="869"/>
      <c r="AN21" s="869">
        <f>IF(ISNUMBER(STDEV(AN8:AN18)),STDEV(AN8:AN18),"-")</f>
        <v>0</v>
      </c>
      <c r="AO21" s="875">
        <f>IF(ISNUMBER(STDEV(AO8:AO18)),STDEV(AO8:AO18),"-")</f>
        <v>0</v>
      </c>
      <c r="AP21" s="922">
        <f>IF(ISNUMBER(STDEV(AP8:AP18)),STDEV(AP8:AP18),"-")</f>
        <v>2.0251704285384933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yrLzhq77nXGFAkcsx6ER5Z049xGms3T6qPxtLWRMgO/qIwESfWCYAsD5Vssh3fxH2GCXzFdhJYu2Q03zlMkgg==" saltValue="/HELhmTH0LEDpbACXtgp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GRANOLLERS</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8</v>
      </c>
      <c r="D9" s="414">
        <f>Datos!BK9</f>
        <v>0</v>
      </c>
      <c r="E9" s="414">
        <f>Datos!AQ9</f>
        <v>8</v>
      </c>
      <c r="F9" s="415">
        <f>IF(ISNUMBER(E9/Datos!BH9),E9/Datos!BH9," - ")</f>
        <v>1.1428571428571428</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1</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2</v>
      </c>
      <c r="D11" s="414">
        <f>Datos!BK11</f>
        <v>0</v>
      </c>
      <c r="E11" s="414">
        <f>Datos!AQ11</f>
        <v>2</v>
      </c>
      <c r="F11" s="415">
        <f>IF(ISNUMBER(E11/Datos!BH11),E11/Datos!BH11," - ")</f>
        <v>1</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0</v>
      </c>
      <c r="D12" s="414">
        <f>Datos!BK12</f>
        <v>0</v>
      </c>
      <c r="E12" s="414">
        <f>Datos!AQ12</f>
        <v>0</v>
      </c>
      <c r="F12" s="415" t="str">
        <f>IF(ISNUMBER(E12/Datos!BH12),E12/Datos!BH12," - ")</f>
        <v xml:space="preserve"> - </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4</v>
      </c>
      <c r="D15" s="414">
        <f>Datos!BK15</f>
        <v>0</v>
      </c>
      <c r="E15" s="414">
        <f>Datos!AQ15</f>
        <v>4</v>
      </c>
      <c r="F15" s="415">
        <f>IF(ISNUMBER(E15/Datos!BH15),E15/Datos!BH15," - ")</f>
        <v>1</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0</v>
      </c>
      <c r="D16" s="414">
        <f>Datos!BK16</f>
        <v>0</v>
      </c>
      <c r="E16" s="414">
        <f>Datos!AQ16</f>
        <v>0</v>
      </c>
      <c r="F16" s="415" t="str">
        <f>IF(ISNUMBER(E16/Datos!BH16),E16/Datos!BH16," - ")</f>
        <v xml:space="preserve"> - </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1</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JT/3W7Xyhgjtd6m/KE84/mby81k5CSRpj3SVvNfxkZZnWoz0jl3NWeoRaqiB80mjDIj2vAZwzwf3Hama5Lmxw==" saltValue="Ko3LFjMNzAGf+VLuTiLM8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GRANOLLERS</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8</v>
      </c>
      <c r="C9" s="421">
        <f>Datos!AQ9</f>
        <v>8</v>
      </c>
      <c r="D9" s="414">
        <f>IF(ISNUMBER(Datos!M9),Datos!M9," - ")</f>
        <v>569</v>
      </c>
      <c r="E9" s="415">
        <f t="shared" ref="E9:E13" si="0">IF(ISNUMBER(D9/B9),D9/B9," - ")</f>
        <v>71.125</v>
      </c>
      <c r="F9" s="414">
        <f>IF(ISNUMBER(Datos!N9),Datos!N9," - ")</f>
        <v>1253</v>
      </c>
      <c r="G9" s="415">
        <f t="shared" ref="G9:G13" si="1">IF(ISNUMBER(F9/B9),F9/B9," - ")</f>
        <v>156.625</v>
      </c>
      <c r="H9" s="414">
        <f>IF(ISNUMBER(Datos!O9),Datos!O9," - ")</f>
        <v>1314</v>
      </c>
      <c r="I9" s="415">
        <f>IF(ISNUMBER(H9/B9),H9/B9," - ")</f>
        <v>164.25</v>
      </c>
    </row>
    <row r="10" spans="1:9">
      <c r="A10" s="413" t="str">
        <f>Datos!A10</f>
        <v>Jdos. Violencia contra la mujer</v>
      </c>
      <c r="B10" s="443">
        <f>Datos!AO10</f>
        <v>1</v>
      </c>
      <c r="C10" s="421">
        <f>Datos!AQ10</f>
        <v>1</v>
      </c>
      <c r="D10" s="414">
        <f>IF(ISNUMBER(Datos!M10),Datos!M10," - ")</f>
        <v>11</v>
      </c>
      <c r="E10" s="415">
        <f>IF(ISNUMBER(D10/B10),D10/B10," - ")</f>
        <v>11</v>
      </c>
      <c r="F10" s="414">
        <f>IF(ISNUMBER(Datos!N10),Datos!N10," - ")</f>
        <v>10</v>
      </c>
      <c r="G10" s="415">
        <f>IF(ISNUMBER(F10/B10),F10/B10," - ")</f>
        <v>10</v>
      </c>
      <c r="H10" s="414">
        <f>IF(ISNUMBER(Datos!O10),Datos!O10," - ")</f>
        <v>5</v>
      </c>
      <c r="I10" s="415">
        <f t="shared" ref="I10:I12" si="2">IF(ISNUMBER(H10/B10),H10/B10," - ")</f>
        <v>5</v>
      </c>
    </row>
    <row r="11" spans="1:9">
      <c r="A11" s="413" t="str">
        <f>Datos!A11</f>
        <v xml:space="preserve">Jdos. Familia                                   </v>
      </c>
      <c r="B11" s="443">
        <f>Datos!AO11</f>
        <v>2</v>
      </c>
      <c r="C11" s="421">
        <f>Datos!AQ11</f>
        <v>2</v>
      </c>
      <c r="D11" s="414">
        <f>IF(ISNUMBER(Datos!M11),Datos!M11," - ")</f>
        <v>73</v>
      </c>
      <c r="E11" s="415">
        <f t="shared" si="0"/>
        <v>36.5</v>
      </c>
      <c r="F11" s="414">
        <f>IF(ISNUMBER(Datos!N11),Datos!N11," - ")</f>
        <v>293</v>
      </c>
      <c r="G11" s="415">
        <f t="shared" si="1"/>
        <v>146.5</v>
      </c>
      <c r="H11" s="414">
        <f>IF(ISNUMBER(Datos!O11),Datos!O11," - ")</f>
        <v>126</v>
      </c>
      <c r="I11" s="415">
        <f t="shared" si="2"/>
        <v>63</v>
      </c>
    </row>
    <row r="12" spans="1:9" ht="13.5" thickBot="1">
      <c r="A12" s="413" t="str">
        <f>Datos!A12</f>
        <v xml:space="preserve">Jdos. 1ª Instª. e Instr.                        </v>
      </c>
      <c r="B12" s="443">
        <f>Datos!AO12</f>
        <v>0</v>
      </c>
      <c r="C12" s="421">
        <f>Datos!AQ12</f>
        <v>0</v>
      </c>
      <c r="D12" s="414" t="str">
        <f>IF(ISNUMBER(Datos!M12),Datos!M12," - ")</f>
        <v xml:space="preserve"> - </v>
      </c>
      <c r="E12" s="415" t="str">
        <f t="shared" si="0"/>
        <v xml:space="preserve"> - </v>
      </c>
      <c r="F12" s="414" t="str">
        <f>IF(ISNUMBER(Datos!N12),Datos!N12," - ")</f>
        <v xml:space="preserve"> - </v>
      </c>
      <c r="G12" s="415" t="str">
        <f t="shared" si="1"/>
        <v xml:space="preserve"> - </v>
      </c>
      <c r="H12" s="414" t="str">
        <f>IF(ISNUMBER(Datos!O12),Datos!O12," - ")</f>
        <v xml:space="preserve"> - </v>
      </c>
      <c r="I12" s="415" t="str">
        <f t="shared" si="2"/>
        <v xml:space="preserve"> - </v>
      </c>
    </row>
    <row r="13" spans="1:9" ht="14.25" thickTop="1" thickBot="1">
      <c r="A13" s="994" t="str">
        <f>Datos!A13</f>
        <v>TOTAL</v>
      </c>
      <c r="B13" s="995">
        <f>Datos!AO13</f>
        <v>11</v>
      </c>
      <c r="C13" s="997">
        <f>Datos!AR13</f>
        <v>11</v>
      </c>
      <c r="D13" s="995">
        <f>SUBTOTAL(9,D9:D12)</f>
        <v>653</v>
      </c>
      <c r="E13" s="996">
        <f t="shared" si="0"/>
        <v>59.363636363636367</v>
      </c>
      <c r="F13" s="995">
        <f>SUBTOTAL(9,F9:F12)</f>
        <v>1556</v>
      </c>
      <c r="G13" s="996">
        <f t="shared" si="1"/>
        <v>141.45454545454547</v>
      </c>
      <c r="H13" s="995">
        <f>SUBTOTAL(9,H9:H12)</f>
        <v>1445</v>
      </c>
      <c r="I13" s="996">
        <f>IF(ISNUMBER(H13/B13),H13/B13," - ")</f>
        <v>131.36363636363637</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4</v>
      </c>
      <c r="C15" s="444">
        <f>Datos!AQ15</f>
        <v>4</v>
      </c>
      <c r="D15" s="414">
        <f>IF(ISNUMBER(Datos!M15),Datos!M15," - ")</f>
        <v>342</v>
      </c>
      <c r="E15" s="415">
        <f t="shared" ref="E15:E18" si="3">IF(ISNUMBER(D15/B15),D15/B15," - ")</f>
        <v>85.5</v>
      </c>
      <c r="F15" s="414">
        <f>IF(ISNUMBER(Datos!N15),Datos!N15," - ")</f>
        <v>2363</v>
      </c>
      <c r="G15" s="415">
        <f t="shared" ref="G15:G18" si="4">IF(ISNUMBER(F15/B15),F15/B15," - ")</f>
        <v>590.75</v>
      </c>
      <c r="H15" s="414">
        <f>IF(ISNUMBER(Datos!O15),Datos!O15," - ")</f>
        <v>53</v>
      </c>
      <c r="I15" s="415">
        <f t="shared" ref="I15:I17" si="5">IF(ISNUMBER(H15/B15),H15/B15," - ")</f>
        <v>13.25</v>
      </c>
    </row>
    <row r="16" spans="1:9">
      <c r="A16" s="413" t="str">
        <f>Datos!A16</f>
        <v xml:space="preserve">Jdos. 1ª Instª. e Instr.                        </v>
      </c>
      <c r="B16" s="443">
        <f>Datos!AO16</f>
        <v>0</v>
      </c>
      <c r="C16" s="444">
        <f>Datos!AQ16</f>
        <v>0</v>
      </c>
      <c r="D16" s="414" t="str">
        <f>IF(ISNUMBER(Datos!M16),Datos!M16," - ")</f>
        <v xml:space="preserve"> - </v>
      </c>
      <c r="E16" s="415" t="str">
        <f t="shared" si="3"/>
        <v xml:space="preserve"> - </v>
      </c>
      <c r="F16" s="414" t="str">
        <f>IF(ISNUMBER(Datos!N16),Datos!N16," - ")</f>
        <v xml:space="preserve"> - </v>
      </c>
      <c r="G16" s="415" t="str">
        <f t="shared" si="4"/>
        <v xml:space="preserve"> - </v>
      </c>
      <c r="H16" s="414" t="str">
        <f>IF(ISNUMBER(Datos!O16),Datos!O16," - ")</f>
        <v xml:space="preserve"> - </v>
      </c>
      <c r="I16" s="415" t="str">
        <f t="shared" si="5"/>
        <v xml:space="preserve"> - </v>
      </c>
    </row>
    <row r="17" spans="1:9" ht="13.5" thickBot="1">
      <c r="A17" s="413" t="str">
        <f>Datos!A17</f>
        <v>Jdos. Violencia contra la mujer</v>
      </c>
      <c r="B17" s="443">
        <f>Datos!AO17</f>
        <v>1</v>
      </c>
      <c r="C17" s="444">
        <f>Datos!AQ17</f>
        <v>1</v>
      </c>
      <c r="D17" s="414">
        <f>IF(ISNUMBER(Datos!M17),Datos!M17," - ")</f>
        <v>22</v>
      </c>
      <c r="E17" s="415">
        <f>IF(ISNUMBER(D17/B17),D17/B17," - ")</f>
        <v>22</v>
      </c>
      <c r="F17" s="414">
        <f>IF(ISNUMBER(Datos!N17),Datos!N17," - ")</f>
        <v>184</v>
      </c>
      <c r="G17" s="415">
        <f>IF(ISNUMBER(F17/B17),F17/B17," - ")</f>
        <v>184</v>
      </c>
      <c r="H17" s="414">
        <f>IF(ISNUMBER(Datos!O17),Datos!O17," - ")</f>
        <v>0</v>
      </c>
      <c r="I17" s="415">
        <f t="shared" si="5"/>
        <v>0</v>
      </c>
    </row>
    <row r="18" spans="1:9" ht="14.25" thickTop="1" thickBot="1">
      <c r="A18" s="994" t="str">
        <f>Datos!A18</f>
        <v>TOTAL</v>
      </c>
      <c r="B18" s="995">
        <f>Datos!AO18</f>
        <v>5</v>
      </c>
      <c r="C18" s="997">
        <f>Datos!AR18</f>
        <v>5</v>
      </c>
      <c r="D18" s="995">
        <f>SUBTOTAL(9,D15:D17)</f>
        <v>364</v>
      </c>
      <c r="E18" s="996">
        <f t="shared" si="3"/>
        <v>72.8</v>
      </c>
      <c r="F18" s="995">
        <f>SUBTOTAL(9,F15:F17)</f>
        <v>2547</v>
      </c>
      <c r="G18" s="996">
        <f t="shared" si="4"/>
        <v>509.4</v>
      </c>
      <c r="H18" s="995">
        <f>SUBTOTAL(9,H15:H17)</f>
        <v>53</v>
      </c>
      <c r="I18" s="996">
        <f>IF(ISNUMBER(H18/B18),H18/B18," - ")</f>
        <v>10.6</v>
      </c>
    </row>
    <row r="19" spans="1:9" ht="14.25" thickTop="1" thickBot="1">
      <c r="A19" s="939" t="str">
        <f>Datos!A19</f>
        <v>TOTAL JURISDICCIONES</v>
      </c>
      <c r="B19" s="940">
        <f>Datos!AP19</f>
        <v>15</v>
      </c>
      <c r="C19" s="940">
        <f>Datos!AR19</f>
        <v>15</v>
      </c>
      <c r="D19" s="940">
        <f>SUBTOTAL(9,D8:D18)</f>
        <v>1017</v>
      </c>
      <c r="E19" s="941">
        <f>IF(ISNUMBER(D19/B19),D19/B19," - ")</f>
        <v>67.8</v>
      </c>
      <c r="F19" s="940">
        <f>SUBTOTAL(9,F8:F18)</f>
        <v>4103</v>
      </c>
      <c r="G19" s="941">
        <f>IF(ISNUMBER(F19/B19),F19/B19," - ")</f>
        <v>273.53333333333336</v>
      </c>
      <c r="H19" s="940">
        <f>SUBTOTAL(9,H8:H18)</f>
        <v>1498</v>
      </c>
      <c r="I19" s="941">
        <f>IF(ISNUMBER(H19/B19),H19/B19," - ")</f>
        <v>99.86666666666666</v>
      </c>
    </row>
    <row r="22" spans="1:9">
      <c r="A22" s="402" t="str">
        <f>Criterios!A4</f>
        <v>Fecha Informe: 29 nov. 2023</v>
      </c>
    </row>
    <row r="27" spans="1:9">
      <c r="A27" s="425"/>
    </row>
  </sheetData>
  <sheetProtection algorithmName="SHA-512" hashValue="XrZ67VY5On32cy8Z+HjOvz69azXFaQ73NJVDMhI1ff0ttXyNJfb4Iai2Satfywi1P4R7nuR7GBnh8ARqcFWz/g==" saltValue="nf+9cMtlWs/3nmfvGBFG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GRANOLLERS</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f>IF(ISNUMBER(Datos!P9),Datos!P9," - ")</f>
        <v>840</v>
      </c>
      <c r="C9" s="450">
        <f>IF(ISNUMBER(Datos!Q9),Datos!Q9," - ")</f>
        <v>1200</v>
      </c>
      <c r="D9" s="419">
        <f>IF(ISNUMBER(Datos!R9),Datos!R9," - ")</f>
        <v>13886</v>
      </c>
    </row>
    <row r="10" spans="1:4">
      <c r="A10" s="413" t="str">
        <f>Datos!A10</f>
        <v>Jdos. Violencia contra la mujer</v>
      </c>
      <c r="B10" s="449">
        <f>IF(ISNUMBER(Datos!P10),Datos!P10," - ")</f>
        <v>8</v>
      </c>
      <c r="C10" s="450">
        <f>IF(ISNUMBER(Datos!Q10),Datos!Q10," - ")</f>
        <v>4</v>
      </c>
      <c r="D10" s="419">
        <f>IF(ISNUMBER(Datos!R10),Datos!R10," - ")</f>
        <v>96</v>
      </c>
    </row>
    <row r="11" spans="1:4">
      <c r="A11" s="413" t="str">
        <f>Datos!A11</f>
        <v xml:space="preserve">Jdos. Familia                                   </v>
      </c>
      <c r="B11" s="449">
        <f>IF(ISNUMBER(Datos!P11),Datos!P11," - ")</f>
        <v>60</v>
      </c>
      <c r="C11" s="450">
        <f>IF(ISNUMBER(Datos!Q11),Datos!Q11," - ")</f>
        <v>126</v>
      </c>
      <c r="D11" s="419">
        <f>IF(ISNUMBER(Datos!R11),Datos!R11," - ")</f>
        <v>666</v>
      </c>
    </row>
    <row r="12" spans="1:4" ht="13.5" thickBot="1">
      <c r="A12" s="413" t="str">
        <f>Datos!A12</f>
        <v xml:space="preserve">Jdos. 1ª Instª. e Instr.                        </v>
      </c>
      <c r="B12" s="449" t="str">
        <f>IF(ISNUMBER(Datos!P12),Datos!P12," - ")</f>
        <v xml:space="preserve"> - </v>
      </c>
      <c r="C12" s="450" t="str">
        <f>IF(ISNUMBER(Datos!Q12),Datos!Q12," - ")</f>
        <v xml:space="preserve"> - </v>
      </c>
      <c r="D12" s="419" t="str">
        <f>IF(ISNUMBER(Datos!R12),Datos!R12," - ")</f>
        <v xml:space="preserve"> - </v>
      </c>
    </row>
    <row r="13" spans="1:4" ht="14.25" thickTop="1" thickBot="1">
      <c r="A13" s="994" t="str">
        <f>Datos!A13</f>
        <v>TOTAL</v>
      </c>
      <c r="B13" s="995">
        <f>SUBTOTAL(9,B9:B12)</f>
        <v>908</v>
      </c>
      <c r="C13" s="999">
        <f>SUBTOTAL(9,C9:C12)</f>
        <v>1330</v>
      </c>
      <c r="D13" s="997">
        <f>SUBTOTAL(9,D9:D12)</f>
        <v>14648</v>
      </c>
    </row>
    <row r="14" spans="1:4" ht="13.5" thickTop="1">
      <c r="A14" s="407" t="str">
        <f>Datos!A14</f>
        <v xml:space="preserve">Jurisdicción Penal ( 2 ):                      </v>
      </c>
      <c r="B14" s="417"/>
      <c r="C14" s="451"/>
      <c r="D14" s="419"/>
    </row>
    <row r="15" spans="1:4">
      <c r="A15" s="413" t="str">
        <f>Datos!A15</f>
        <v xml:space="preserve">Jdos. Instrucción                               </v>
      </c>
      <c r="B15" s="449">
        <f>IF(ISNUMBER(Datos!P15),Datos!P15," - ")</f>
        <v>24</v>
      </c>
      <c r="C15" s="450">
        <f>IF(ISNUMBER(Datos!Q15),Datos!Q15," - ")</f>
        <v>55</v>
      </c>
      <c r="D15" s="419">
        <f>IF(ISNUMBER(Datos!R15),Datos!R15," - ")</f>
        <v>326</v>
      </c>
    </row>
    <row r="16" spans="1:4">
      <c r="A16" s="413" t="str">
        <f>Datos!A16</f>
        <v xml:space="preserve">Jdos. 1ª Instª. e Instr.                        </v>
      </c>
      <c r="B16" s="449" t="str">
        <f>IF(ISNUMBER(Datos!P16),Datos!P16," - ")</f>
        <v xml:space="preserve"> - </v>
      </c>
      <c r="C16" s="450" t="str">
        <f>IF(ISNUMBER(Datos!Q16),Datos!Q16," - ")</f>
        <v xml:space="preserve"> - </v>
      </c>
      <c r="D16" s="419" t="str">
        <f>IF(ISNUMBER(Datos!R16),Datos!R16," - ")</f>
        <v xml:space="preserve"> - </v>
      </c>
    </row>
    <row r="17" spans="1:4" ht="13.5" thickBot="1">
      <c r="A17" s="413" t="str">
        <f>Datos!A17</f>
        <v>Jdos. Violencia contra la mujer</v>
      </c>
      <c r="B17" s="449">
        <f>IF(ISNUMBER(Datos!P17),Datos!P17," - ")</f>
        <v>0</v>
      </c>
      <c r="C17" s="450">
        <f>IF(ISNUMBER(Datos!Q17),Datos!Q17," - ")</f>
        <v>1</v>
      </c>
      <c r="D17" s="419">
        <f>IF(ISNUMBER(Datos!R17),Datos!R17," - ")</f>
        <v>4</v>
      </c>
    </row>
    <row r="18" spans="1:4" ht="14.25" thickTop="1" thickBot="1">
      <c r="A18" s="994" t="str">
        <f>Datos!A18</f>
        <v>TOTAL</v>
      </c>
      <c r="B18" s="995">
        <f>SUBTOTAL(9,B15:B17)</f>
        <v>24</v>
      </c>
      <c r="C18" s="999">
        <f>SUBTOTAL(9,C15:C17)</f>
        <v>56</v>
      </c>
      <c r="D18" s="997">
        <f>SUBTOTAL(9,D15:D17)</f>
        <v>330</v>
      </c>
    </row>
    <row r="19" spans="1:4" ht="16.5" customHeight="1" thickTop="1" thickBot="1">
      <c r="A19" s="939" t="str">
        <f>Datos!A19</f>
        <v>TOTAL JURISDICCIONES</v>
      </c>
      <c r="B19" s="944">
        <f>SUBTOTAL(9,B8:B18)</f>
        <v>932</v>
      </c>
      <c r="C19" s="945">
        <f>SUBTOTAL(9,C8:C18)</f>
        <v>1386</v>
      </c>
      <c r="D19" s="946">
        <f>SUBTOTAL(9,D8:D18)</f>
        <v>14978</v>
      </c>
    </row>
    <row r="20" spans="1:4" ht="7.5" customHeight="1"/>
    <row r="21" spans="1:4" ht="6" customHeight="1"/>
    <row r="22" spans="1:4">
      <c r="A22" s="402" t="str">
        <f>Criterios!A4</f>
        <v>Fecha Informe: 29 nov. 2023</v>
      </c>
    </row>
    <row r="27" spans="1:4">
      <c r="A27" s="425"/>
    </row>
  </sheetData>
  <sheetProtection algorithmName="SHA-512" hashValue="ztMvaaYQgeaOIYOXKRiLsRwgo9Lkpx5rjnUbLkvcl5NclBdgAQKNWRXm7yFkhdretTQo1RtqirpHudwNvdfh/Q==" saltValue="7vUfjP7f722YvQU1dkF1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GRANOLLERS</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f>IF(ISNUMBER(
   IF(J_V="SI",(Datos!I9-Datos!S9)/Datos!S9,(Datos!I9+Datos!Y9-(Datos!S9+Datos!AG9))/(Datos!S9+Datos!AG9))
     ),IF(J_V="SI",(Datos!I9-Datos!S9)/Datos!S9,(Datos!I9+Datos!Y9-(Datos!S9+Datos!AG9))/(Datos!S9+Datos!AG9))," - ")</f>
        <v>-3.2302092811646949E-2</v>
      </c>
      <c r="C9" s="472">
        <f>IF(ISNUMBER(
   IF(J_V="SI",(Datos!J9-Datos!T9)/Datos!T9,(Datos!J9+Datos!Z9-(Datos!T9+Datos!AH9))/(Datos!T9+Datos!AH9))
     ),IF(J_V="SI",(Datos!J9-Datos!T9)/Datos!T9,(Datos!J9+Datos!Z9-(Datos!T9+Datos!AH9))/(Datos!T9+Datos!AH9))," - ")</f>
        <v>0.28816140083745717</v>
      </c>
      <c r="D9" s="472">
        <f>IF(ISNUMBER(
   IF(J_V="SI",(Datos!K9-Datos!U9)/Datos!U9,(Datos!K9+Datos!AA9-(Datos!U9+Datos!AI9))/(Datos!U9+Datos!AI9))
     ),IF(J_V="SI",(Datos!K9-Datos!U9)/Datos!U9,(Datos!K9+Datos!AA9-(Datos!U9+Datos!AI9))/(Datos!U9+Datos!AI9))," - ")</f>
        <v>0.20226185297955632</v>
      </c>
      <c r="E9" s="472">
        <f>IF(ISNUMBER(
   IF(J_V="SI",(Datos!L9-Datos!V9)/Datos!V9,(Datos!L9+Datos!AB9-(Datos!V9+Datos!AJ9))/(Datos!V9+Datos!AJ9))
     ),IF(J_V="SI",(Datos!L9-Datos!V9)/Datos!V9,(Datos!L9+Datos!AB9-(Datos!V9+Datos!AJ9))/(Datos!V9+Datos!AJ9))," - ")</f>
        <v>2.5197195442594215E-3</v>
      </c>
      <c r="F9" s="472">
        <f>IF(ISNUMBER((Datos!M9-Datos!W9)/Datos!W9),(Datos!M9-Datos!W9)/Datos!W9," - ")</f>
        <v>6.9548872180451124E-2</v>
      </c>
      <c r="G9" s="473">
        <f>IF(ISNUMBER((Datos!N9-Datos!X9)/Datos!X9),(Datos!N9-Datos!X9)/Datos!X9," - ")</f>
        <v>0.47411764705882353</v>
      </c>
      <c r="H9" s="471">
        <f>IF(ISNUMBER(((NºAsuntos!G9/NºAsuntos!E9)-Datos!BD9)/Datos!BD9),((NºAsuntos!G9/NºAsuntos!E9)-Datos!BD9)/Datos!BD9," - ")</f>
        <v>-6.66838393093101E-2</v>
      </c>
      <c r="I9" s="472">
        <f>IF(ISNUMBER(((NºAsuntos!I9/NºAsuntos!G9)-Datos!BE9)/Datos!BE9),((NºAsuntos!I9/NºAsuntos!G9)-Datos!BE9)/Datos!BE9," - ")</f>
        <v>-0.16613862690584213</v>
      </c>
      <c r="J9" s="477">
        <f>IF(ISNUMBER((('Resol  Asuntos'!D9/NºAsuntos!G9)-Datos!BF9)/Datos!BF9),(('Resol  Asuntos'!D9/NºAsuntos!G9)-Datos!BF9)/Datos!BF9," - ")</f>
        <v>-0.44320635055758917</v>
      </c>
      <c r="K9" s="478">
        <f>IF(ISNUMBER((((NºAsuntos!C9+NºAsuntos!E9)/NºAsuntos!G9)-Datos!BG9)/Datos!BG9),(((NºAsuntos!C9+NºAsuntos!E9)/NºAsuntos!G9)-Datos!BG9)/Datos!BG9," - ")</f>
        <v>-0.13378089098969159</v>
      </c>
    </row>
    <row r="10" spans="1:11">
      <c r="A10" s="413" t="str">
        <f>Datos!A10</f>
        <v>Jdos. Violencia contra la mujer</v>
      </c>
      <c r="B10" s="471">
        <f>IF(ISNUMBER((Datos!I10-Datos!S10)/Datos!S10),(Datos!I10-Datos!S10)/Datos!S10," - ")</f>
        <v>-0.26744186046511625</v>
      </c>
      <c r="C10" s="472">
        <f>IF(ISNUMBER((Datos!J10-Datos!T10)/Datos!T10),(Datos!J10-Datos!T10)/Datos!T10," - ")</f>
        <v>0.27586206896551724</v>
      </c>
      <c r="D10" s="472">
        <f>IF(ISNUMBER((Datos!K10-Datos!U10)/Datos!U10),(Datos!K10-Datos!U10)/Datos!U10," - ")</f>
        <v>-0.42105263157894735</v>
      </c>
      <c r="E10" s="472">
        <f>IF(ISNUMBER((Datos!L10-Datos!V10)/Datos!V10),(Datos!L10-Datos!V10)/Datos!V10," - ")</f>
        <v>1.2987012987012988E-2</v>
      </c>
      <c r="F10" s="472">
        <f>IF(ISNUMBER((Datos!M10-Datos!W10)/Datos!W10),(Datos!M10-Datos!W10)/Datos!W10," - ")</f>
        <v>0</v>
      </c>
      <c r="G10" s="473">
        <f>IF(ISNUMBER((Datos!N10-Datos!X10)/Datos!X10),(Datos!N10-Datos!X10)/Datos!X10," - ")</f>
        <v>-0.58333333333333337</v>
      </c>
      <c r="H10" s="471">
        <f>IF(ISNUMBER(((NºAsuntos!G10/NºAsuntos!E10)-Datos!BD10)/Datos!BD10),((NºAsuntos!G10/NºAsuntos!E10)-Datos!BD10)/Datos!BD10," - ")</f>
        <v>-0.54623044096728302</v>
      </c>
      <c r="I10" s="472">
        <f>IF(ISNUMBER(((NºAsuntos!I10/NºAsuntos!G10)-Datos!BE10)/Datos!BE10),((NºAsuntos!I10/NºAsuntos!G10)-Datos!BE10)/Datos!BE10," - ")</f>
        <v>0.74970484061393161</v>
      </c>
      <c r="J10" s="477">
        <f>IF(ISNUMBER((('Resol  Asuntos'!D10/NºAsuntos!G10)-Datos!BF10)/Datos!BF10),(('Resol  Asuntos'!D10/NºAsuntos!G10)-Datos!BF10)/Datos!BF10," - ")</f>
        <v>0.72727272727272718</v>
      </c>
      <c r="K10" s="478">
        <f>IF(ISNUMBER((((NºAsuntos!C10+NºAsuntos!E10)/NºAsuntos!G10)-Datos!BG10)/Datos!BG10),(((NºAsuntos!C10+NºAsuntos!E10)/NºAsuntos!G10)-Datos!BG10)/Datos!BG10," - ")</f>
        <v>0.50197628458498045</v>
      </c>
    </row>
    <row r="11" spans="1:11">
      <c r="A11" s="413" t="str">
        <f>Datos!A11</f>
        <v xml:space="preserve">Jdos. Familia                                   </v>
      </c>
      <c r="B11" s="471">
        <f>IF(ISNUMBER(
   IF(J_V="SI",(Datos!I11-Datos!S11)/Datos!S11,(Datos!I11+Datos!Y11-(Datos!S11+Datos!AG11))/(Datos!S11+Datos!AG11))
     ),IF(J_V="SI",(Datos!I11-Datos!S11)/Datos!S11,(Datos!I11+Datos!Y11-(Datos!S11+Datos!AG11))/(Datos!S11+Datos!AG11))," - ")</f>
        <v>-0.10767065446868403</v>
      </c>
      <c r="C11" s="472">
        <f>IF(ISNUMBER(
   IF(J_V="SI",(Datos!J11-Datos!T11)/Datos!T11,(Datos!J11+Datos!Z11-(Datos!T11+Datos!AH11))/(Datos!T11+Datos!AH11))
     ),IF(J_V="SI",(Datos!J11-Datos!T11)/Datos!T11,(Datos!J11+Datos!Z11-(Datos!T11+Datos!AH11))/(Datos!T11+Datos!AH11))," - ")</f>
        <v>9.8501070663811557E-2</v>
      </c>
      <c r="D11" s="472">
        <f>IF(ISNUMBER(
   IF(J_V="SI",(Datos!K11-Datos!U11)/Datos!U11,(Datos!K11+Datos!AA11-(Datos!U11+Datos!AI11))/(Datos!U11+Datos!AI11))
     ),IF(J_V="SI",(Datos!K11-Datos!U11)/Datos!U11,(Datos!K11+Datos!AA11-(Datos!U11+Datos!AI11))/(Datos!U11+Datos!AI11))," - ")</f>
        <v>0.10663983903420524</v>
      </c>
      <c r="E11" s="472">
        <f>IF(ISNUMBER(
   IF(J_V="SI",(Datos!L11-Datos!V11)/Datos!V11,(Datos!L11+Datos!AB11-(Datos!V11+Datos!AJ11))/(Datos!V11+Datos!AJ11))
     ),IF(J_V="SI",(Datos!L11-Datos!V11)/Datos!V11,(Datos!L11+Datos!AB11-(Datos!V11+Datos!AJ11))/(Datos!V11+Datos!AJ11))," - ")</f>
        <v>-0.17327065144392209</v>
      </c>
      <c r="F11" s="472">
        <f>IF(ISNUMBER((Datos!M11-Datos!W11)/Datos!W11),(Datos!M11-Datos!W11)/Datos!W11," - ")</f>
        <v>-0.58522727272727271</v>
      </c>
      <c r="G11" s="473">
        <f>IF(ISNUMBER((Datos!N11-Datos!X11)/Datos!X11),(Datos!N11-Datos!X11)/Datos!X11," - ")</f>
        <v>0.10984848484848485</v>
      </c>
      <c r="H11" s="471">
        <f>IF(ISNUMBER(((NºAsuntos!G11/NºAsuntos!E11)-Datos!BD11)/Datos!BD11),((NºAsuntos!G11/NºAsuntos!E11)-Datos!BD11)/Datos!BD11," - ")</f>
        <v>7.4089762748028223E-3</v>
      </c>
      <c r="I11" s="472">
        <f>IF(ISNUMBER(((NºAsuntos!I11/NºAsuntos!G11)-Datos!BE11)/Datos!BE11),((NºAsuntos!I11/NºAsuntos!G11)-Datos!BE11)/Datos!BE11," - ")</f>
        <v>-0.252937297759326</v>
      </c>
      <c r="J11" s="477">
        <f>IF(ISNUMBER((('Resol  Asuntos'!D11/NºAsuntos!G11)-Datos!BF11)/Datos!BF11),(('Resol  Asuntos'!D11/NºAsuntos!G11)-Datos!BF11)/Datos!BF11," - ")</f>
        <v>-0.75013085399449042</v>
      </c>
      <c r="K11" s="478">
        <f>IF(ISNUMBER((((NºAsuntos!C11+NºAsuntos!E11)/NºAsuntos!G11)-Datos!BG11)/Datos!BG11),(((NºAsuntos!C11+NºAsuntos!E11)/NºAsuntos!G11)-Datos!BG11)/Datos!BG11," - ")</f>
        <v>-0.14757607858243449</v>
      </c>
    </row>
    <row r="12" spans="1:11" ht="13.5" thickBot="1">
      <c r="A12" s="413" t="str">
        <f>Datos!A12</f>
        <v xml:space="preserve">Jdos. 1ª Instª. e Instr.                        </v>
      </c>
      <c r="B12" s="471" t="str">
        <f>IF(ISNUMBER(
   IF(J_V="SI",(Datos!I12-Datos!S12)/Datos!S12,(Datos!I12+Datos!Y12-(Datos!S12+Datos!AG12))/(Datos!S12+Datos!AG12))
     ),IF(J_V="SI",(Datos!I12-Datos!S12)/Datos!S12,(Datos!I12+Datos!Y12-(Datos!S12+Datos!AG12))/(Datos!S12+Datos!AG12))," - ")</f>
        <v xml:space="preserve"> - </v>
      </c>
      <c r="C12" s="472" t="str">
        <f>IF(ISNUMBER(
   IF(J_V="SI",(Datos!J12-Datos!T12)/Datos!T12,(Datos!J12+Datos!Z12-(Datos!T12+Datos!AH12))/(Datos!T12+Datos!AH12))
     ),IF(J_V="SI",(Datos!J12-Datos!T12)/Datos!T12,(Datos!J12+Datos!Z12-(Datos!T12+Datos!AH12))/(Datos!T12+Datos!AH12))," - ")</f>
        <v xml:space="preserve"> - </v>
      </c>
      <c r="D12" s="472" t="str">
        <f>IF(ISNUMBER(
   IF(J_V="SI",(Datos!K12-Datos!U12)/Datos!U12,(Datos!K12+Datos!AA12-(Datos!U12+Datos!AI12))/(Datos!U12+Datos!AI12))
     ),IF(J_V="SI",(Datos!K12-Datos!U12)/Datos!U12,(Datos!K12+Datos!AA12-(Datos!U12+Datos!AI12))/(Datos!U12+Datos!AI12))," - ")</f>
        <v xml:space="preserve"> - </v>
      </c>
      <c r="E12" s="472" t="str">
        <f>IF(ISNUMBER(
   IF(J_V="SI",(Datos!L12-Datos!V12)/Datos!V12,(Datos!L12+Datos!AB12-(Datos!V12+Datos!AJ12))/(Datos!V12+Datos!AJ12))
     ),IF(J_V="SI",(Datos!L12-Datos!V12)/Datos!V12,(Datos!L12+Datos!AB12-(Datos!V12+Datos!AJ12))/(Datos!V12+Datos!AJ12))," - ")</f>
        <v xml:space="preserve"> - </v>
      </c>
      <c r="F12" s="472" t="str">
        <f>IF(ISNUMBER((Datos!M12-Datos!W12)/Datos!W12),(Datos!M12-Datos!W12)/Datos!W12," - ")</f>
        <v xml:space="preserve"> - </v>
      </c>
      <c r="G12" s="473" t="str">
        <f>IF(ISNUMBER((Datos!N12-Datos!X12)/Datos!X12),(Datos!N12-Datos!X12)/Datos!X12," - ")</f>
        <v xml:space="preserve"> - </v>
      </c>
      <c r="H12" s="471" t="str">
        <f>IF(ISNUMBER(((NºAsuntos!G12/NºAsuntos!E12)-Datos!BD12)/Datos!BD12),((NºAsuntos!G12/NºAsuntos!E12)-Datos!BD12)/Datos!BD12," - ")</f>
        <v xml:space="preserve"> - </v>
      </c>
      <c r="I12" s="472" t="str">
        <f>IF(ISNUMBER(((NºAsuntos!I12/NºAsuntos!G12)-Datos!BE12)/Datos!BE12),((NºAsuntos!I12/NºAsuntos!G12)-Datos!BE12)/Datos!BE12," - ")</f>
        <v xml:space="preserve"> - </v>
      </c>
      <c r="J12" s="477" t="str">
        <f>IF(ISNUMBER((('Resol  Asuntos'!D12/NºAsuntos!G12)-Datos!BF12)/Datos!BF12),(('Resol  Asuntos'!D12/NºAsuntos!G12)-Datos!BF12)/Datos!BF12," - ")</f>
        <v xml:space="preserve"> - </v>
      </c>
      <c r="K12" s="478" t="str">
        <f>IF(ISNUMBER((((NºAsuntos!C12+NºAsuntos!E12)/NºAsuntos!G12)-Datos!BG12)/Datos!BG12),(((NºAsuntos!C12+NºAsuntos!E12)/NºAsuntos!G12)-Datos!BG12)/Datos!BG12," - ")</f>
        <v xml:space="preserve"> - </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-4.4664530536945336E-2</v>
      </c>
      <c r="C13" s="1001">
        <f>IF(ISNUMBER(
   IF(J_V="SI",(Datos!J13-Datos!T13)/Datos!T13,(Datos!J13+Datos!Z13-(Datos!T13+Datos!AH13))/(Datos!T13+Datos!AH13))
     ),IF(J_V="SI",(Datos!J13-Datos!T13)/Datos!T13,(Datos!J13+Datos!Z13-(Datos!T13+Datos!AH13))/(Datos!T13+Datos!AH13))," - ")</f>
        <v>0.25968619916746716</v>
      </c>
      <c r="D13" s="1001">
        <f>IF(ISNUMBER(
   IF(J_V="SI",(Datos!K13-Datos!U13)/Datos!U13,(Datos!K13+Datos!AA13-(Datos!U13+Datos!AI13))/(Datos!U13+Datos!AI13))
     ),IF(J_V="SI",(Datos!K13-Datos!U13)/Datos!U13,(Datos!K13+Datos!AA13-(Datos!U13+Datos!AI13))/(Datos!U13+Datos!AI13))," - ")</f>
        <v>0.17713479181369091</v>
      </c>
      <c r="E13" s="1001">
        <f>IF(ISNUMBER(
   IF(J_V="SI",(Datos!L13-Datos!V13)/Datos!V13,(Datos!L13+Datos!AB13-(Datos!V13+Datos!AJ13))/(Datos!V13+Datos!AJ13))
     ),IF(J_V="SI",(Datos!L13-Datos!V13)/Datos!V13,(Datos!L13+Datos!AB13-(Datos!V13+Datos!AJ13))/(Datos!V13+Datos!AJ13))," - ")</f>
        <v>-2.1881428838601086E-2</v>
      </c>
      <c r="F13" s="1002">
        <f>IF(ISNUMBER((Datos!M13-Datos!W13)/Datos!W13),(Datos!M13-Datos!W13)/Datos!W13," - ")</f>
        <v>-9.1794158553546598E-2</v>
      </c>
      <c r="G13" s="1003">
        <f>IF(ISNUMBER((Datos!N13-Datos!X13)/Datos!X13),(Datos!N13-Datos!X13)/Datos!X13," - ")</f>
        <v>0.36731107205623903</v>
      </c>
      <c r="H13" s="1003">
        <f>IF(ISNUMBER(((NºAsuntos!G13/NºAsuntos!E13)-Datos!BD13)/Datos!BD13),((NºAsuntos!G13/NºAsuntos!E13)-Datos!BD13)/Datos!BD13," - ")</f>
        <v>-6.5533310921668364E-2</v>
      </c>
      <c r="I13" s="1003">
        <f>IF(ISNUMBER(((NºAsuntos!I13/NºAsuntos!G13)-Datos!BE13)/Datos!BE13),((NºAsuntos!I13/NºAsuntos!G13)-Datos!BE13)/Datos!BE13," - ")</f>
        <v>-0.1690683361296749</v>
      </c>
      <c r="J13" s="1003">
        <f>IF(ISNUMBER((('Resol  Asuntos'!D13/NºAsuntos!G13)-Datos!BF13)/Datos!BF13),(('Resol  Asuntos'!D13/NºAsuntos!G13)-Datos!BF13)/Datos!BF13," - ")</f>
        <v>-0.50690061284305887</v>
      </c>
      <c r="K13" s="1003">
        <f>IF(ISNUMBER((((NºAsuntos!C13+NºAsuntos!E13)/NºAsuntos!G13)-Datos!BG13)/Datos!BG13),(((NºAsuntos!C13+NºAsuntos!E13)/NºAsuntos!G13)-Datos!BG13)/Datos!BG13," - ")</f>
        <v>-0.12826372786437812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f>IF(ISNUMBER(
   IF(D_I="SI",(Datos!I15-Datos!S15)/Datos!S15,(Datos!I15+Datos!AC15-(Datos!S15+Datos!AK15))/(Datos!S15+Datos!AK15))
     ),IF(D_I="SI",(Datos!I15-Datos!S15)/Datos!S15,(Datos!I15+Datos!AC15-(Datos!S15+Datos!AK15))/(Datos!S15+Datos!AK15))," - ")</f>
        <v>0.21647147714393652</v>
      </c>
      <c r="C15" s="472">
        <f>IF(ISNUMBER(
   IF(D_I="SI",(Datos!J15-Datos!T15)/Datos!T15,(Datos!J15+Datos!AD15-(Datos!T15+Datos!AL15))/(Datos!T15+Datos!AL15))
     ),IF(D_I="SI",(Datos!J15-Datos!T15)/Datos!T15,(Datos!J15+Datos!AD15-(Datos!T15+Datos!AL15))/(Datos!T15+Datos!AL15))," - ")</f>
        <v>-1.1122607346094155E-2</v>
      </c>
      <c r="D15" s="472">
        <f>IF(ISNUMBER(
   IF(D_I="SI",(Datos!K15-Datos!U15)/Datos!U15,(Datos!K15+Datos!AE15-(Datos!U15+Datos!AM15))/(Datos!U15+Datos!AM15))
     ),IF(D_I="SI",(Datos!K15-Datos!U15)/Datos!U15,(Datos!K15+Datos!AE15-(Datos!U15+Datos!AM15))/(Datos!U15+Datos!AM15))," - ")</f>
        <v>0.10884146341463415</v>
      </c>
      <c r="E15" s="472">
        <f>IF(ISNUMBER(
   IF(D_I="SI",(Datos!L15-Datos!V15)/Datos!V15,(Datos!L15+Datos!AF15-(Datos!V15+Datos!AN15))/(Datos!V15+Datos!AN15))
     ),IF(D_I="SI",(Datos!L15-Datos!V15)/Datos!V15,(Datos!L15+Datos!AF15-(Datos!V15+Datos!AN15))/(Datos!V15+Datos!AN15))," - ")</f>
        <v>0.12354036215941784</v>
      </c>
      <c r="F15" s="472">
        <f>IF(ISNUMBER((Datos!M15-Datos!W15)/Datos!W15),(Datos!M15-Datos!W15)/Datos!W15," - ")</f>
        <v>0.19163763066202091</v>
      </c>
      <c r="G15" s="473">
        <f>IF(ISNUMBER((Datos!N15-Datos!X15)/Datos!X15),(Datos!N15-Datos!X15)/Datos!X15," - ")</f>
        <v>0.12900143334925943</v>
      </c>
      <c r="H15" s="471">
        <f>IF(ISNUMBER(((NºAsuntos!G15/NºAsuntos!E15)-Datos!BD15)/Datos!BD15),((NºAsuntos!G15/NºAsuntos!E15)-Datos!BD15)/Datos!BD15," - ")</f>
        <v>0.12131339198560703</v>
      </c>
      <c r="I15" s="472">
        <f>IF(ISNUMBER(((NºAsuntos!I15/NºAsuntos!G15)-Datos!BE15)/Datos!BE15),((NºAsuntos!I15/NºAsuntos!G15)-Datos!BE15)/Datos!BE15," - ")</f>
        <v>1.325608685259573E-2</v>
      </c>
      <c r="J15" s="477">
        <f>IF(ISNUMBER((('Resol  Asuntos'!D15/NºAsuntos!G15)-Datos!BF15)/Datos!BF15),(('Resol  Asuntos'!D15/NºAsuntos!G15)-Datos!BF15)/Datos!BF15," - ")</f>
        <v>7.4669075768883306E-2</v>
      </c>
      <c r="K15" s="478">
        <f>IF(ISNUMBER((((NºAsuntos!C15+NºAsuntos!E15)/NºAsuntos!G15)-Datos!BG15)/Datos!BG15),(((NºAsuntos!C15+NºAsuntos!E15)/NºAsuntos!G15)-Datos!BG15)/Datos!BG15," - ")</f>
        <v>1.0437365600757965E-2</v>
      </c>
    </row>
    <row r="16" spans="1:11">
      <c r="A16" s="413" t="str">
        <f>Datos!A16</f>
        <v xml:space="preserve">Jdos. 1ª Instª. e Instr.                        </v>
      </c>
      <c r="B16" s="471" t="str">
        <f>IF(ISNUMBER(
   IF(D_I="SI",(Datos!I16-Datos!S16)/Datos!S16,(Datos!I16+Datos!AC16-(Datos!S16+Datos!AK16))/(Datos!S16+Datos!AK16))
     ),IF(D_I="SI",(Datos!I16-Datos!S16)/Datos!S16,(Datos!I16+Datos!AC16-(Datos!S16+Datos!AK16))/(Datos!S16+Datos!AK16))," - ")</f>
        <v xml:space="preserve"> - </v>
      </c>
      <c r="C16" s="472" t="str">
        <f>IF(ISNUMBER(
   IF(D_I="SI",(Datos!J16-Datos!T16)/Datos!T16,(Datos!J16+Datos!AD16-(Datos!T16+Datos!AL16))/(Datos!T16+Datos!AL16))
     ),IF(D_I="SI",(Datos!J16-Datos!T16)/Datos!T16,(Datos!J16+Datos!AD16-(Datos!T16+Datos!AL16))/(Datos!T16+Datos!AL16))," - ")</f>
        <v xml:space="preserve"> - </v>
      </c>
      <c r="D16" s="472" t="str">
        <f>IF(ISNUMBER(
   IF(D_I="SI",(Datos!K16-Datos!U16)/Datos!U16,(Datos!K16+Datos!AE16-(Datos!U16+Datos!AM16))/(Datos!U16+Datos!AM16))
     ),IF(D_I="SI",(Datos!K16-Datos!U16)/Datos!U16,(Datos!K16+Datos!AE16-(Datos!U16+Datos!AM16))/(Datos!U16+Datos!AM16))," - ")</f>
        <v xml:space="preserve"> - </v>
      </c>
      <c r="E16" s="472" t="str">
        <f>IF(ISNUMBER(
   IF(D_I="SI",(Datos!L16-Datos!V16)/Datos!V16,(Datos!L16+Datos!AF16-(Datos!V16+Datos!AN16))/(Datos!V16+Datos!AN16))
     ),IF(D_I="SI",(Datos!L16-Datos!V16)/Datos!V16,(Datos!L16+Datos!AF16-(Datos!V16+Datos!AN16))/(Datos!V16+Datos!AN16))," - ")</f>
        <v xml:space="preserve"> - </v>
      </c>
      <c r="F16" s="472" t="str">
        <f>IF(ISNUMBER((Datos!M16-Datos!W16)/Datos!W16),(Datos!M16-Datos!W16)/Datos!W16," - ")</f>
        <v xml:space="preserve"> - </v>
      </c>
      <c r="G16" s="473" t="str">
        <f>IF(ISNUMBER((Datos!N16-Datos!X16)/Datos!X16),(Datos!N16-Datos!X16)/Datos!X16," - ")</f>
        <v xml:space="preserve"> - </v>
      </c>
      <c r="H16" s="471" t="str">
        <f>IF(ISNUMBER(((NºAsuntos!G16/NºAsuntos!E16)-Datos!BD16)/Datos!BD16),((NºAsuntos!G16/NºAsuntos!E16)-Datos!BD16)/Datos!BD16," - ")</f>
        <v xml:space="preserve"> - </v>
      </c>
      <c r="I16" s="472" t="str">
        <f>IF(ISNUMBER(((NºAsuntos!I16/NºAsuntos!G16)-Datos!BE16)/Datos!BE16),((NºAsuntos!I16/NºAsuntos!G16)-Datos!BE16)/Datos!BE16," - ")</f>
        <v xml:space="preserve"> - </v>
      </c>
      <c r="J16" s="477" t="str">
        <f>IF(ISNUMBER((('Resol  Asuntos'!D16/NºAsuntos!G16)-Datos!BF16)/Datos!BF16),(('Resol  Asuntos'!D16/NºAsuntos!G16)-Datos!BF16)/Datos!BF16," - ")</f>
        <v xml:space="preserve"> - </v>
      </c>
      <c r="K16" s="478" t="str">
        <f>IF(ISNUMBER((((NºAsuntos!C16+NºAsuntos!E16)/NºAsuntos!G16)-Datos!BG16)/Datos!BG16),(((NºAsuntos!C16+NºAsuntos!E16)/NºAsuntos!G16)-Datos!BG16)/Datos!BG16," - ")</f>
        <v xml:space="preserve"> - </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-0.7151515151515152</v>
      </c>
      <c r="C17" s="472">
        <f>IF(ISNUMBER(
   IF(D_I="SI",(Datos!J17-Datos!T17)/Datos!T17,(Datos!J17+Datos!AD17-(Datos!T17+Datos!AL17))/(Datos!T17+Datos!AL17))
     ),IF(D_I="SI",(Datos!J17-Datos!T17)/Datos!T17,(Datos!J17+Datos!AD17-(Datos!T17+Datos!AL17))/(Datos!T17+Datos!AL17))," - ")</f>
        <v>0.18840579710144928</v>
      </c>
      <c r="D17" s="472">
        <f>IF(ISNUMBER(
   IF(D_I="SI",(Datos!K17-Datos!U17)/Datos!U17,(Datos!K17+Datos!AE17-(Datos!U17+Datos!AM17))/(Datos!U17+Datos!AM17))
     ),IF(D_I="SI",(Datos!K17-Datos!U17)/Datos!U17,(Datos!K17+Datos!AE17-(Datos!U17+Datos!AM17))/(Datos!U17+Datos!AM17))," - ")</f>
        <v>5.8181818181818182E-2</v>
      </c>
      <c r="E17" s="472">
        <f>IF(ISNUMBER(
   IF(D_I="SI",(Datos!L17-Datos!V17)/Datos!V17,(Datos!L17+Datos!AF17-(Datos!V17+Datos!AN17))/(Datos!V17+Datos!AN17))
     ),IF(D_I="SI",(Datos!L17-Datos!V17)/Datos!V17,(Datos!L17+Datos!AF17-(Datos!V17+Datos!AN17))/(Datos!V17+Datos!AN17))," - ")</f>
        <v>-0.60422960725075525</v>
      </c>
      <c r="F17" s="472">
        <f>IF(ISNUMBER((Datos!M17-Datos!W17)/Datos!W17),(Datos!M17-Datos!W17)/Datos!W17," - ")</f>
        <v>-0.12</v>
      </c>
      <c r="G17" s="473">
        <f>IF(ISNUMBER((Datos!N17-Datos!X17)/Datos!X17),(Datos!N17-Datos!X17)/Datos!X17," - ")</f>
        <v>0.95744680851063835</v>
      </c>
      <c r="H17" s="471">
        <f>IF(ISNUMBER(((NºAsuntos!G17/NºAsuntos!E17)-Datos!BD17)/Datos!BD17),((NºAsuntos!G17/NºAsuntos!E17)-Datos!BD17)/Datos!BD17," - ")</f>
        <v>-0.10957871396895785</v>
      </c>
      <c r="I17" s="472">
        <f>IF(ISNUMBER(((NºAsuntos!I17/NºAsuntos!G17)-Datos!BE17)/Datos!BE17),((NºAsuntos!I17/NºAsuntos!G17)-Datos!BE17)/Datos!BE17," - ")</f>
        <v>-0.62599017867339424</v>
      </c>
      <c r="J17" s="477">
        <f>IF(ISNUMBER((('Resol  Asuntos'!D17/NºAsuntos!G17)-Datos!BF17)/Datos!BF17),(('Resol  Asuntos'!D17/NºAsuntos!G17)-Datos!BF17)/Datos!BF17," - ")</f>
        <v>-0.16838487972508598</v>
      </c>
      <c r="K17" s="478">
        <f>IF(ISNUMBER((((NºAsuntos!C17+NºAsuntos!E17)/NºAsuntos!G17)-Datos!BG17)/Datos!BG17),(((NºAsuntos!C17+NºAsuntos!E17)/NºAsuntos!G17)-Datos!BG17)/Datos!BG17," - ")</f>
        <v>-0.34191872795526979</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0.16180654338549075</v>
      </c>
      <c r="C18" s="1001">
        <f>IF(ISNUMBER(
   IF(Criterios!B14="SI",(Datos!J18-Datos!T18)/Datos!T18,(Datos!J18+Datos!AD18-(Datos!T18+Datos!AL18))/(Datos!T18+Datos!AL18))
     ),IF(Criterios!B14="SI",(Datos!J18-Datos!T18)/Datos!T18,(Datos!J18+Datos!AD18-(Datos!T18+Datos!AL18))/(Datos!T18+Datos!AL18))," - ")</f>
        <v>2.1728633510381457E-3</v>
      </c>
      <c r="D18" s="1001">
        <f>IF(ISNUMBER(
   IF(Criterios!B14="SI",(Datos!K18-Datos!U18)/Datos!U18,(Datos!K18+Datos!AE18-(Datos!U18+Datos!AM18))/(Datos!U18+Datos!AM18))
     ),IF(Criterios!B14="SI",(Datos!K18-Datos!U18)/Datos!U18,(Datos!K18+Datos!AE18-(Datos!U18+Datos!AM18))/(Datos!U18+Datos!AM18))," - ")</f>
        <v>0.10492264416315049</v>
      </c>
      <c r="E18" s="1001">
        <f>IF(ISNUMBER(
   IF(Criterios!B14="SI",(Datos!L18-Datos!V18)/Datos!V18,(Datos!L18+Datos!AF18-(Datos!V18+Datos!AN18))/(Datos!V18+Datos!AN18))
     ),IF(Criterios!B14="SI",(Datos!L18-Datos!V18)/Datos!V18,(Datos!L18+Datos!AF18-(Datos!V18+Datos!AN18))/(Datos!V18+Datos!AN18))," - ")</f>
        <v>8.4935897435897439E-2</v>
      </c>
      <c r="F18" s="1002">
        <f>IF(ISNUMBER((Datos!M18-Datos!W18)/Datos!W18),(Datos!M18-Datos!W18)/Datos!W18," - ")</f>
        <v>0.16666666666666666</v>
      </c>
      <c r="G18" s="1003">
        <f>IF(ISNUMBER((Datos!N18-Datos!X18)/Datos!X18),(Datos!N18-Datos!X18)/Datos!X18," - ")</f>
        <v>0.16460905349794239</v>
      </c>
      <c r="H18" s="1003">
        <f>IF(ISNUMBER(((NºAsuntos!G18/NºAsuntos!E18)-Datos!BD18)/Datos!BD18),((NºAsuntos!G18/NºAsuntos!E18)-Datos!BD18)/Datos!BD18," - ")</f>
        <v>0.10252700364340385</v>
      </c>
      <c r="I18" s="1003">
        <f>IF(ISNUMBER(((NºAsuntos!I18/NºAsuntos!G18)-Datos!BE18)/Datos!BE18),((NºAsuntos!I18/NºAsuntos!G18)-Datos!BE18)/Datos!BE18," - ")</f>
        <v>-1.8088819912267066E-2</v>
      </c>
      <c r="J18" s="1003">
        <f>IF(ISNUMBER((('Resol  Asuntos'!D18/NºAsuntos!G18)-Datos!BF18)/Datos!BF18),(('Resol  Asuntos'!D18/NºAsuntos!G18)-Datos!BF18)/Datos!BF18," - ")</f>
        <v>5.588085539714862E-2</v>
      </c>
      <c r="K18" s="1003">
        <f>IF(ISNUMBER((((NºAsuntos!C18+NºAsuntos!E18)/NºAsuntos!G18)-Datos!BG18)/Datos!BG18),(((NºAsuntos!C18+NºAsuntos!E18)/NºAsuntos!G18)-Datos!BG18)/Datos!BG18," - ")</f>
        <v>-9.793135959872374E-3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2.8261006091816868E-2</v>
      </c>
      <c r="C19" s="948">
        <f>IF(ISNUMBER(
   IF(J_V="SI",(Datos!J19-Datos!T19)/Datos!T19,(Datos!J19+Datos!Z19-(Datos!T19+Datos!AH19))/(Datos!T19+Datos!AH19))
     ),IF(J_V="SI",(Datos!J19-Datos!T19)/Datos!T19,(Datos!J19+Datos!Z19-(Datos!T19+Datos!AH19))/(Datos!T19+Datos!AH19))," - ")</f>
        <v>0.11286992429456297</v>
      </c>
      <c r="D19" s="948">
        <f>IF(ISNUMBER(
   IF(J_V="SI",(Datos!K19-Datos!U19)/Datos!U19,(Datos!K19+Datos!AA19-(Datos!U19+Datos!AI19))/(Datos!U19+Datos!AI19))
     ),IF(J_V="SI",(Datos!K19-Datos!U19)/Datos!U19,(Datos!K19+Datos!AA19-(Datos!U19+Datos!AI19))/(Datos!U19+Datos!AI19))," - ")</f>
        <v>0.13695413992800126</v>
      </c>
      <c r="E19" s="948">
        <f>IF(ISNUMBER(
   IF(J_V="SI",(Datos!L19-Datos!V19)/Datos!V19,(Datos!L19+Datos!AB19-(Datos!V19+Datos!AJ19))/(Datos!V19+Datos!AJ19))
     ),IF(J_V="SI",(Datos!L19-Datos!V19)/Datos!V19,(Datos!L19+Datos!AB19-(Datos!V19+Datos!AJ19))/(Datos!V19+Datos!AJ19))," - ")</f>
        <v>1.7479626786346993E-2</v>
      </c>
      <c r="F19" s="949">
        <f>IF(ISNUMBER((Datos!M19-Datos!W19)/Datos!W19),(Datos!M19-Datos!W19)/Datos!W19," - ")</f>
        <v>-1.3579049466537343E-2</v>
      </c>
      <c r="G19" s="950">
        <f>IF(ISNUMBER((Datos!N19-Datos!X19)/Datos!X19),(Datos!N19-Datos!X19)/Datos!X19," - ")</f>
        <v>0.23398496240601505</v>
      </c>
      <c r="H19" s="951">
        <f>IF(ISNUMBER((Tasas!B19-Datos!BD19)/Datos!BD19),(Tasas!B19-Datos!BD19)/Datos!BD19," - ")</f>
        <v>2.1641536991580619E-2</v>
      </c>
      <c r="I19" s="952">
        <f>IF(ISNUMBER((Tasas!C19-Datos!BE19)/Datos!BE19),(Tasas!C19-Datos!BE19)/Datos!BE19," - ")</f>
        <v>-0.10508296592263609</v>
      </c>
      <c r="J19" s="953">
        <f>IF(ISNUMBER((Tasas!D19-Datos!BF19)/Datos!BF19),(Tasas!D19-Datos!BF19)/Datos!BF19," - ")</f>
        <v>-0.37752596957685342</v>
      </c>
      <c r="K19" s="953">
        <f>IF(ISNUMBER((Tasas!E19-Datos!BG19)/Datos!BG19),(Tasas!E19-Datos!BG19)/Datos!BG19," - ")</f>
        <v>-7.2284737415448899E-2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eTJTy1ts7wlTmPVrEH0kkkWeRSW/5U9gi/ILHD4wxWry4hxrmT+efDxsHu5CEDyuvIUCsu4xhJnLZcZQgOfcgA==" saltValue="9CIVpdV/uE8MvuOx2pwK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GRANOLLERS</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f>IF(ISNUMBER(NºAsuntos!G9/NºAsuntos!E9),NºAsuntos!G9/NºAsuntos!E9," - ")</f>
        <v>0.81678486997635935</v>
      </c>
      <c r="C9" s="459">
        <f>IF(ISNUMBER(NºAsuntos!I9/NºAsuntos!G9),NºAsuntos!I9/NºAsuntos!G9," - ")</f>
        <v>3.310781476121563</v>
      </c>
      <c r="D9" s="460">
        <f>IF(ISNUMBER('Resol  Asuntos'!D9/NºAsuntos!G9),'Resol  Asuntos'!D9/NºAsuntos!G9," - ")</f>
        <v>0.20586107091172215</v>
      </c>
      <c r="E9" s="461">
        <f>IF(ISNUMBER((NºAsuntos!C9+NºAsuntos!E9)/NºAsuntos!G9),(NºAsuntos!C9+NºAsuntos!E9)/NºAsuntos!G9," - ")</f>
        <v>4.3024602026049203</v>
      </c>
      <c r="G9" s="479"/>
    </row>
    <row r="10" spans="1:7">
      <c r="A10" s="413" t="str">
        <f>Datos!A10</f>
        <v>Jdos. Violencia contra la mujer</v>
      </c>
      <c r="B10" s="458">
        <f>IF(ISNUMBER(NºAsuntos!G10/NºAsuntos!E10),NºAsuntos!G10/NºAsuntos!E10," - ")</f>
        <v>0.59459459459459463</v>
      </c>
      <c r="C10" s="459">
        <f>IF(ISNUMBER(NºAsuntos!I10/NºAsuntos!G10),NºAsuntos!I10/NºAsuntos!G10," - ")</f>
        <v>3.5454545454545454</v>
      </c>
      <c r="D10" s="460">
        <f>IF(ISNUMBER('Resol  Asuntos'!D10/NºAsuntos!G10),'Resol  Asuntos'!D10/NºAsuntos!G10," - ")</f>
        <v>0.5</v>
      </c>
      <c r="E10" s="461">
        <f>IF(ISNUMBER((NºAsuntos!C10+NºAsuntos!E10)/NºAsuntos!G10),(NºAsuntos!C10+NºAsuntos!E10)/NºAsuntos!G10," - ")</f>
        <v>4.5454545454545459</v>
      </c>
      <c r="G10" s="479"/>
    </row>
    <row r="11" spans="1:7">
      <c r="A11" s="413" t="str">
        <f>Datos!A11</f>
        <v xml:space="preserve">Jdos. Familia                                   </v>
      </c>
      <c r="B11" s="458">
        <f>IF(ISNUMBER(NºAsuntos!G11/NºAsuntos!E11),NºAsuntos!G11/NºAsuntos!E11," - ")</f>
        <v>1.0721247563352827</v>
      </c>
      <c r="C11" s="459">
        <f>IF(ISNUMBER(NºAsuntos!I11/NºAsuntos!G11),NºAsuntos!I11/NºAsuntos!G11," - ")</f>
        <v>2.2381818181818183</v>
      </c>
      <c r="D11" s="460">
        <f>IF(ISNUMBER('Resol  Asuntos'!D11/NºAsuntos!G11),'Resol  Asuntos'!D11/NºAsuntos!G11," - ")</f>
        <v>0.13272727272727272</v>
      </c>
      <c r="E11" s="461">
        <f>IF(ISNUMBER((NºAsuntos!C11+NºAsuntos!E11)/NºAsuntos!G11),(NºAsuntos!C11+NºAsuntos!E11)/NºAsuntos!G11," - ")</f>
        <v>3.2381818181818183</v>
      </c>
      <c r="G11" s="479"/>
    </row>
    <row r="12" spans="1:7" ht="13.5" thickBot="1">
      <c r="A12" s="413" t="str">
        <f>Datos!A12</f>
        <v xml:space="preserve">Jdos. 1ª Instª. e Instr.                        </v>
      </c>
      <c r="B12" s="458" t="str">
        <f>IF(ISNUMBER(NºAsuntos!G12/NºAsuntos!E12),NºAsuntos!G12/NºAsuntos!E12," - ")</f>
        <v xml:space="preserve"> - </v>
      </c>
      <c r="C12" s="459" t="str">
        <f>IF(ISNUMBER(NºAsuntos!I12/NºAsuntos!G12),NºAsuntos!I12/NºAsuntos!G12," - ")</f>
        <v xml:space="preserve"> - </v>
      </c>
      <c r="D12" s="460" t="str">
        <f>IF(ISNUMBER('Resol  Asuntos'!D12/NºAsuntos!G12),'Resol  Asuntos'!D12/NºAsuntos!G12," - ")</f>
        <v xml:space="preserve"> - </v>
      </c>
      <c r="E12" s="461" t="str">
        <f>IF(ISNUMBER((NºAsuntos!C12+NºAsuntos!E12)/NºAsuntos!G12),(NºAsuntos!C12+NºAsuntos!E12)/NºAsuntos!G12," - ")</f>
        <v xml:space="preserve"> - </v>
      </c>
      <c r="G12" s="479"/>
    </row>
    <row r="13" spans="1:7" ht="14.25" thickTop="1" thickBot="1">
      <c r="A13" s="994" t="str">
        <f>Datos!A13</f>
        <v>TOTAL</v>
      </c>
      <c r="B13" s="1004">
        <f>IF(ISNUMBER(NºAsuntos!G13/NºAsuntos!E13),NºAsuntos!G13/NºAsuntos!E13," - ")</f>
        <v>0.84799186578546004</v>
      </c>
      <c r="C13" s="1005">
        <f>IF(ISNUMBER(NºAsuntos!I13/NºAsuntos!G13),NºAsuntos!I13/NºAsuntos!G13," - ")</f>
        <v>3.1354916067146283</v>
      </c>
      <c r="D13" s="1006">
        <f>IF(ISNUMBER('Resol  Asuntos'!D13/NºAsuntos!G13),'Resol  Asuntos'!D13/NºAsuntos!G13," - ")</f>
        <v>0.19574340527577938</v>
      </c>
      <c r="E13" s="1007">
        <f>IF(ISNUMBER((NºAsuntos!C13+NºAsuntos!E13)/NºAsuntos!G13),(NºAsuntos!C13+NºAsuntos!E13)/NºAsuntos!G13," - ")</f>
        <v>4.1285971223021587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f>IF(ISNUMBER(NºAsuntos!G15/NºAsuntos!E15),NºAsuntos!G15/NºAsuntos!E15," - ")</f>
        <v>0.95134710959979074</v>
      </c>
      <c r="C15" s="459">
        <f>IF(ISNUMBER(NºAsuntos!I15/NºAsuntos!G15),NºAsuntos!I15/NºAsuntos!G15," - ")</f>
        <v>1.8254055540280452</v>
      </c>
      <c r="D15" s="460">
        <f>IF(ISNUMBER('Resol  Asuntos'!D15/NºAsuntos!G15),'Resol  Asuntos'!D15/NºAsuntos!G15," - ")</f>
        <v>9.4033544129777283E-2</v>
      </c>
      <c r="E15" s="461">
        <f>IF(ISNUMBER((NºAsuntos!C15+NºAsuntos!E15)/NºAsuntos!G15),(NºAsuntos!C15+NºAsuntos!E15)/NºAsuntos!G15," - ")</f>
        <v>2.82183117954358</v>
      </c>
      <c r="G15" s="479"/>
    </row>
    <row r="16" spans="1:7">
      <c r="A16" s="413" t="str">
        <f>Datos!A16</f>
        <v xml:space="preserve">Jdos. 1ª Instª. e Instr.                        </v>
      </c>
      <c r="B16" s="458" t="str">
        <f>IF(ISNUMBER(NºAsuntos!G16/NºAsuntos!E16),NºAsuntos!G16/NºAsuntos!E16," - ")</f>
        <v xml:space="preserve"> - </v>
      </c>
      <c r="C16" s="459" t="str">
        <f>IF(ISNUMBER(NºAsuntos!I16/NºAsuntos!G16),NºAsuntos!I16/NºAsuntos!G16," - ")</f>
        <v xml:space="preserve"> - </v>
      </c>
      <c r="D16" s="460" t="str">
        <f>IF(ISNUMBER('Resol  Asuntos'!D16/NºAsuntos!G16),'Resol  Asuntos'!D16/NºAsuntos!G16," - ")</f>
        <v xml:space="preserve"> - </v>
      </c>
      <c r="E16" s="461" t="str">
        <f>IF(ISNUMBER((NºAsuntos!C16+NºAsuntos!E16)/NºAsuntos!G16),(NºAsuntos!C16+NºAsuntos!E16)/NºAsuntos!G16," - ")</f>
        <v xml:space="preserve"> - </v>
      </c>
      <c r="G16" s="479"/>
    </row>
    <row r="17" spans="1:7" ht="13.5" thickBot="1">
      <c r="A17" s="413" t="str">
        <f>Datos!A17</f>
        <v>Jdos. Violencia contra la mujer</v>
      </c>
      <c r="B17" s="458">
        <f>IF(ISNUMBER(NºAsuntos!G17/NºAsuntos!E17),NºAsuntos!G17/NºAsuntos!E17," - ")</f>
        <v>0.88719512195121952</v>
      </c>
      <c r="C17" s="459">
        <f>IF(ISNUMBER(NºAsuntos!I17/NºAsuntos!G17),NºAsuntos!I17/NºAsuntos!G17," - ")</f>
        <v>0.45017182130584193</v>
      </c>
      <c r="D17" s="460">
        <f>IF(ISNUMBER('Resol  Asuntos'!D17/NºAsuntos!G17),'Resol  Asuntos'!D17/NºAsuntos!G17," - ")</f>
        <v>7.560137457044673E-2</v>
      </c>
      <c r="E17" s="461">
        <f>IF(ISNUMBER((NºAsuntos!C17+NºAsuntos!E17)/NºAsuntos!G17),(NºAsuntos!C17+NºAsuntos!E17)/NºAsuntos!G17," - ")</f>
        <v>1.4501718213058419</v>
      </c>
      <c r="G17" s="479"/>
    </row>
    <row r="18" spans="1:7" ht="14.25" thickTop="1" thickBot="1">
      <c r="A18" s="994" t="str">
        <f>Datos!A18</f>
        <v>TOTAL</v>
      </c>
      <c r="B18" s="1004">
        <f>IF(ISNUMBER(NºAsuntos!G18/NºAsuntos!E18),NºAsuntos!G18/NºAsuntos!E18," - ")</f>
        <v>0.94627800529992778</v>
      </c>
      <c r="C18" s="1005">
        <f>IF(ISNUMBER(NºAsuntos!I18/NºAsuntos!G18),NºAsuntos!I18/NºAsuntos!G18," - ")</f>
        <v>1.7235234215885946</v>
      </c>
      <c r="D18" s="1008">
        <f>IF(ISNUMBER('Resol  Asuntos'!D18/NºAsuntos!G18),'Resol  Asuntos'!D18/NºAsuntos!G18," - ")</f>
        <v>9.2668024439918534E-2</v>
      </c>
      <c r="E18" s="1007">
        <f>IF(ISNUMBER((NºAsuntos!C18+NºAsuntos!E18)/NºAsuntos!G18),(NºAsuntos!C18+NºAsuntos!E18)/NºAsuntos!G18," - ")</f>
        <v>2.7202138492871692</v>
      </c>
      <c r="G18" s="479"/>
    </row>
    <row r="19" spans="1:7" ht="15.75" customHeight="1" thickTop="1" thickBot="1">
      <c r="A19" s="939" t="str">
        <f>Datos!A19</f>
        <v>TOTAL JURISDICCIONES</v>
      </c>
      <c r="B19" s="954">
        <f>IF(ISNUMBER(NºAsuntos!G19/NºAsuntos!E19),NºAsuntos!G19/NºAsuntos!E19," - ")</f>
        <v>0.89845392702535565</v>
      </c>
      <c r="C19" s="955">
        <f>IF(ISNUMBER(NºAsuntos!I19/NºAsuntos!G19),NºAsuntos!I19/NºAsuntos!G19," - ")</f>
        <v>2.3719713656387666</v>
      </c>
      <c r="D19" s="956">
        <f>IF(ISNUMBER('Resol  Asuntos'!D19/NºAsuntos!G19),'Resol  Asuntos'!D19/NºAsuntos!G19," - ")</f>
        <v>0.14000550660792951</v>
      </c>
      <c r="E19" s="957">
        <f>IF(ISNUMBER((NºAsuntos!C19+NºAsuntos!E19)/NºAsuntos!G19),(NºAsuntos!C19+NºAsuntos!E19)/NºAsuntos!G19," - ")</f>
        <v>3.3670154185022025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ejAUZVWyCghrGPXApDTyMKYP5zZU35qabrTSOyvpyNvm5+si2Y7a/+ZYRz6TRthBLH0FrRIAv49oNsFZQ4p2NQ==" saltValue="MbqNudPL+x1uqDG7sPNS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GRANOLLERS</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8</v>
      </c>
      <c r="B9" s="181" t="s">
        <v>249</v>
      </c>
      <c r="C9" s="164" t="str">
        <f>Datos!A9</f>
        <v xml:space="preserve">Jdos. 1ª Instancia   </v>
      </c>
      <c r="D9" s="164"/>
      <c r="E9" s="1201">
        <f>IF(ISNUMBER(Datos!AQ9),Datos!AQ9," - ")</f>
        <v>8</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840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f>IF(ISNUMBER(Datos!Q9),Datos!Q9," - ")</f>
        <v>1200</v>
      </c>
      <c r="Y9" s="343">
        <f>SUM(W9:X9)</f>
        <v>1200</v>
      </c>
      <c r="Z9" s="344" t="str">
        <f>IF(ISNUMBER(Datos!CC9),Datos!CC9," - ")</f>
        <v xml:space="preserve"> - </v>
      </c>
      <c r="AA9" s="341" t="str">
        <f>IF(ISNUMBER(IF(J_V="SI",Datos!L9,Datos!L9+Datos!AB9)-IF(Monitorios="SI",Datos!CD9,0)),
                          IF(J_V="SI",Datos!L9,Datos!L9+Datos!AB9)-IF(Monitorios="SI",Datos!CD9,0),
                          " - ")</f>
        <v xml:space="preserve"> - </v>
      </c>
      <c r="AB9" s="343">
        <f>IF(ISNUMBER(Datos!R9),Datos!R9," - ")</f>
        <v>13886</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f>IF(ISNUMBER(Datos!M9),Datos!M9," - ")</f>
        <v>569</v>
      </c>
      <c r="AJ9" s="233" t="str">
        <f>IF(ISNUMBER(Datos!BW9),Datos!BW9," - ")</f>
        <v xml:space="preserve"> - </v>
      </c>
      <c r="AK9" s="232" t="str">
        <f>IF(ISNUMBER(Datos!BX9),Datos!BX9," - ")</f>
        <v xml:space="preserve"> - </v>
      </c>
      <c r="AL9" s="247">
        <f>IF(ISNUMBER(NºAsuntos!G9/NºAsuntos!E9),NºAsuntos!G9/NºAsuntos!E9," - ")</f>
        <v>0.81678486997635935</v>
      </c>
      <c r="AM9" s="264">
        <f>IF(ISNUMBER(((NºAsuntos!I9/NºAsuntos!G9)*11)/factor_trimestre),((NºAsuntos!I9/NºAsuntos!G9)*11)/factor_trimestre," - ")</f>
        <v>6.6215629522431252</v>
      </c>
      <c r="AN9" s="248">
        <f>IF(ISNUMBER('Resol  Asuntos'!D9/NºAsuntos!G9),'Resol  Asuntos'!D9/NºAsuntos!G9," - ")</f>
        <v>0.20586107091172215</v>
      </c>
      <c r="AO9" s="249">
        <f>IF(ISNUMBER((NºAsuntos!C9+NºAsuntos!E9)/NºAsuntos!G9),(NºAsuntos!C9+NºAsuntos!E9)/NºAsuntos!G9," - ")</f>
        <v>4.3024602026049203</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1</v>
      </c>
      <c r="F10" s="229">
        <f>IF(ISNUMBER(Datos!L10+Datos!K10-Datos!J10-K10),Datos!L10+Datos!K10-Datos!J10-K10," - ")</f>
        <v>63</v>
      </c>
      <c r="G10" s="342">
        <f>IF(ISNUMBER(Datos!I10),Datos!I10," - ")</f>
        <v>63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8</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22</v>
      </c>
      <c r="X10" s="230">
        <f>IF(ISNUMBER(Datos!Q10),Datos!Q10," - ")</f>
        <v>4</v>
      </c>
      <c r="Y10" s="343">
        <f t="shared" ref="Y10:Y12" si="0">SUM(W10:X10)</f>
        <v>26</v>
      </c>
      <c r="Z10" s="344" t="str">
        <f>IF(ISNUMBER(Datos!CC10),Datos!CC10," - ")</f>
        <v xml:space="preserve"> - </v>
      </c>
      <c r="AA10" s="341">
        <f>IF(ISNUMBER(Datos!L10),Datos!L10,"-")</f>
        <v>78</v>
      </c>
      <c r="AB10" s="343">
        <f>IF(ISNUMBER(Datos!R10),Datos!R10," - ")</f>
        <v>96</v>
      </c>
      <c r="AC10" s="343">
        <f t="shared" ref="AC10:AC12" si="1">IF(ISNUMBER(AA10+AB10),AA10+AB10," - ")</f>
        <v>174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11</v>
      </c>
      <c r="AJ10" s="235" t="str">
        <f>IF(ISNUMBER(Datos!BW10),Datos!BW10," - ")</f>
        <v xml:space="preserve"> - </v>
      </c>
      <c r="AK10" s="236" t="str">
        <f>IF(ISNUMBER(Datos!BX10),Datos!BX10," - ")</f>
        <v xml:space="preserve"> - </v>
      </c>
      <c r="AL10" s="247">
        <f>IF(ISNUMBER(NºAsuntos!G10/NºAsuntos!E10),NºAsuntos!G10/NºAsuntos!E10," - ")</f>
        <v>0.59459459459459463</v>
      </c>
      <c r="AM10" s="264">
        <f>IF(ISNUMBER(((NºAsuntos!I10/NºAsuntos!G10)*11)/factor_trimestre),((NºAsuntos!I10/NºAsuntos!G10)*11)/factor_trimestre," - ")</f>
        <v>7.0909090909090908</v>
      </c>
      <c r="AN10" s="248">
        <f>IF(ISNUMBER('Resol  Asuntos'!D10/NºAsuntos!G10),'Resol  Asuntos'!D10/NºAsuntos!G10," - ")</f>
        <v>0.5</v>
      </c>
      <c r="AO10" s="249">
        <f>IF(ISNUMBER((NºAsuntos!C10+NºAsuntos!E10)/NºAsuntos!G10),(NºAsuntos!C10+NºAsuntos!E10)/NºAsuntos!G10," - ")</f>
        <v>4.5454545454545459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2</v>
      </c>
      <c r="B11" s="279" t="s">
        <v>249</v>
      </c>
      <c r="C11" s="7" t="str">
        <f>Datos!A11</f>
        <v xml:space="preserve">Jdos. Familia                                   </v>
      </c>
      <c r="D11" s="7"/>
      <c r="E11" s="1201">
        <f>IF(ISNUMBER(Datos!AQ11),Datos!AQ11," - ")</f>
        <v>2</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60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f>IF(ISNUMBER(Datos!Q11),Datos!Q11," - ")</f>
        <v>126</v>
      </c>
      <c r="Y11" s="343">
        <f t="shared" si="0"/>
        <v>126</v>
      </c>
      <c r="Z11" s="344" t="str">
        <f>IF(ISNUMBER(Datos!CC11),Datos!CC11," - ")</f>
        <v xml:space="preserve"> - </v>
      </c>
      <c r="AA11" s="341" t="str">
        <f>IF(ISNUMBER(IF(J_V="SI",Datos!L11,Datos!L11+Datos!AB11)-IF(Monitorios="SI",Datos!CD11,0)),
                          IF(J_V="SI",Datos!L11,Datos!L11+Datos!AB11)-IF(Monitorios="SI",Datos!CD11,0),
                          " - ")</f>
        <v xml:space="preserve"> - </v>
      </c>
      <c r="AB11" s="343">
        <f>IF(ISNUMBER(Datos!R11),Datos!R11," - ")</f>
        <v>666</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f>IF(ISNUMBER(Datos!M11),Datos!M11," - ")</f>
        <v>73</v>
      </c>
      <c r="AJ11" s="235" t="str">
        <f>IF(ISNUMBER(Datos!BW11),Datos!BW11," - ")</f>
        <v xml:space="preserve"> - </v>
      </c>
      <c r="AK11" s="236" t="str">
        <f>IF(ISNUMBER(Datos!BX11),Datos!BX11," - ")</f>
        <v xml:space="preserve"> - </v>
      </c>
      <c r="AL11" s="247">
        <f>IF(ISNUMBER(NºAsuntos!G11/NºAsuntos!E11),NºAsuntos!G11/NºAsuntos!E11," - ")</f>
        <v>1.0721247563352827</v>
      </c>
      <c r="AM11" s="264">
        <f>IF(ISNUMBER(((NºAsuntos!I11/NºAsuntos!G11)*11)/factor_trimestre),((NºAsuntos!I11/NºAsuntos!G11)*11)/factor_trimestre," - ")</f>
        <v>4.4763636363636365</v>
      </c>
      <c r="AN11" s="248">
        <f>IF(ISNUMBER('Resol  Asuntos'!D11/NºAsuntos!G11),'Resol  Asuntos'!D11/NºAsuntos!G11," - ")</f>
        <v>0.13272727272727272</v>
      </c>
      <c r="AO11" s="249">
        <f>IF(ISNUMBER((NºAsuntos!C11+NºAsuntos!E11)/NºAsuntos!G11),(NºAsuntos!C11+NºAsuntos!E11)/NºAsuntos!G11," - ")</f>
        <v>3.2381818181818183</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0</v>
      </c>
      <c r="B12" s="279" t="s">
        <v>249</v>
      </c>
      <c r="C12" s="7" t="str">
        <f>Datos!A12</f>
        <v xml:space="preserve">Jdos. 1ª Instª. e Instr.                        </v>
      </c>
      <c r="D12" s="7"/>
      <c r="E12" s="1201">
        <f>IF(ISNUMBER(Datos!AQ12),Datos!AQ12," - ")</f>
        <v>0</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t="str">
        <f>IF(ISNUMBER(Datos!Q12),Datos!Q12," - ")</f>
        <v xml:space="preserve"> - </v>
      </c>
      <c r="Y12" s="343">
        <f t="shared" si="0"/>
        <v>0</v>
      </c>
      <c r="Z12" s="344" t="str">
        <f>IF(ISNUMBER(Datos!CC12),Datos!CC12," - ")</f>
        <v xml:space="preserve"> - </v>
      </c>
      <c r="AA12" s="341" t="str">
        <f>IF(ISNUMBER(IF(J_V="SI",Datos!L12,Datos!L12+Datos!AB12)-IF(Monitorios="SI",Datos!CD12,0)),
                          IF(J_V="SI",Datos!L12,Datos!L12+Datos!AB12)-IF(Monitorios="SI",Datos!CD12,0),
                          " - ")</f>
        <v xml:space="preserve"> - </v>
      </c>
      <c r="AB12" s="343" t="str">
        <f>IF(ISNUMBER(Datos!R12),Datos!R12," - ")</f>
        <v xml:space="preserve"> - </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t="str">
        <f>IF(ISNUMBER(Datos!M12),Datos!M12," - ")</f>
        <v xml:space="preserve"> - </v>
      </c>
      <c r="AJ12" s="233" t="str">
        <f>IF(ISNUMBER(Datos!BW12),Datos!BW12," - ")</f>
        <v xml:space="preserve"> - </v>
      </c>
      <c r="AK12" s="232" t="str">
        <f>IF(ISNUMBER(Datos!BX12),Datos!BX12," - ")</f>
        <v xml:space="preserve"> - </v>
      </c>
      <c r="AL12" s="247" t="str">
        <f>IF(ISNUMBER(NºAsuntos!G12/NºAsuntos!E12),NºAsuntos!G12/NºAsuntos!E12," - ")</f>
        <v xml:space="preserve"> - </v>
      </c>
      <c r="AM12" s="264" t="str">
        <f>IF(ISNUMBER(((NºAsuntos!I12/NºAsuntos!G12)*11)/factor_trimestre),((NºAsuntos!I12/NºAsuntos!G12)*11)/factor_trimestre," - ")</f>
        <v xml:space="preserve"> - </v>
      </c>
      <c r="AN12" s="248" t="str">
        <f>IF(ISNUMBER('Resol  Asuntos'!D12/NºAsuntos!G12),'Resol  Asuntos'!D12/NºAsuntos!G12," - ")</f>
        <v xml:space="preserve"> - </v>
      </c>
      <c r="AO12" s="249" t="str">
        <f>IF(ISNUMBER((NºAsuntos!C12+NºAsuntos!E12)/NºAsuntos!G12),(NºAsuntos!C12+NºAsuntos!E12)/NºAsuntos!G12," - ")</f>
        <v xml:space="preserve"> - </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11</v>
      </c>
      <c r="F13" s="1011">
        <f t="shared" si="3"/>
        <v>63</v>
      </c>
      <c r="G13" s="1012">
        <f t="shared" si="3"/>
        <v>63</v>
      </c>
      <c r="H13" s="1011">
        <f t="shared" si="3"/>
        <v>0</v>
      </c>
      <c r="I13" s="1013">
        <f t="shared" si="3"/>
        <v>0</v>
      </c>
      <c r="J13" s="1013">
        <f t="shared" si="3"/>
        <v>0</v>
      </c>
      <c r="K13" s="1013">
        <f t="shared" si="3"/>
        <v>0</v>
      </c>
      <c r="L13" s="1013">
        <f t="shared" si="3"/>
        <v>908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22</v>
      </c>
      <c r="X13" s="1013">
        <f t="shared" si="4"/>
        <v>1330</v>
      </c>
      <c r="Y13" s="1014">
        <f t="shared" si="4"/>
        <v>1352</v>
      </c>
      <c r="Z13" s="1014">
        <f t="shared" si="4"/>
        <v>0</v>
      </c>
      <c r="AA13" s="1014">
        <f t="shared" si="4"/>
        <v>78</v>
      </c>
      <c r="AB13" s="1014">
        <f t="shared" si="4"/>
        <v>14648</v>
      </c>
      <c r="AC13" s="1014">
        <f t="shared" si="4"/>
        <v>174</v>
      </c>
      <c r="AD13" s="1014">
        <f t="shared" si="4"/>
        <v>0</v>
      </c>
      <c r="AE13" s="1018">
        <f t="shared" si="4"/>
        <v>0</v>
      </c>
      <c r="AF13" s="1011">
        <f t="shared" si="4"/>
        <v>0</v>
      </c>
      <c r="AG13" s="1019">
        <f t="shared" si="4"/>
        <v>0</v>
      </c>
      <c r="AH13" s="1016">
        <f t="shared" si="4"/>
        <v>0</v>
      </c>
      <c r="AI13" s="1011">
        <f t="shared" si="4"/>
        <v>653</v>
      </c>
      <c r="AJ13" s="1013">
        <f t="shared" si="4"/>
        <v>0</v>
      </c>
      <c r="AK13" s="1016">
        <f>SUBTOTAL(9,AK9:AK12)</f>
        <v>0</v>
      </c>
      <c r="AL13" s="1020">
        <f>IF(ISNUMBER(NºAsuntos!G13/NºAsuntos!E13),NºAsuntos!G13/NºAsuntos!E13," - ")</f>
        <v>0.84799186578546004</v>
      </c>
      <c r="AM13" s="1020">
        <f>IF(ISNUMBER(((NºAsuntos!I13/NºAsuntos!G13)*11)/factor_trimestre),((NºAsuntos!I13/NºAsuntos!G13)*11)/factor_trimestre," - ")</f>
        <v>6.2709832134292576</v>
      </c>
      <c r="AN13" s="1021">
        <f>IF(ISNUMBER('Resol  Asuntos'!D13/NºAsuntos!G13),'Resol  Asuntos'!D13/NºAsuntos!G13," - ")</f>
        <v>0.19574340527577938</v>
      </c>
      <c r="AO13" s="1022">
        <f>IF(ISNUMBER((NºAsuntos!C13+NºAsuntos!E13)/NºAsuntos!G13),(NºAsuntos!C13+NºAsuntos!E13)/NºAsuntos!G13," - ")</f>
        <v>4.1285971223021587</v>
      </c>
      <c r="AP13" s="1023" t="str">
        <f t="shared" si="2"/>
        <v xml:space="preserve"> - </v>
      </c>
      <c r="AQ13" s="1023">
        <f>IF(ISNUMBER((H13-W13+K13)/(F13)),(H13-W13+K13)/(F13)," - ")</f>
        <v>-0.34920634920634919</v>
      </c>
      <c r="AR13" s="1024">
        <f>IF(ISNUMBER((Datos!P13-Datos!Q13)/(Datos!R13-Datos!P13+Datos!Q13)),(Datos!P13-Datos!Q13)/(Datos!R13-Datos!P13+Datos!Q13)," - ")</f>
        <v>-2.8002654280026542E-2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4</v>
      </c>
      <c r="B15" s="279" t="s">
        <v>400</v>
      </c>
      <c r="C15" s="164" t="str">
        <f>Datos!A15</f>
        <v xml:space="preserve">Jdos. Instrucción                               </v>
      </c>
      <c r="D15" s="164"/>
      <c r="E15" s="1201">
        <f>IF(ISNUMBER(Datos!AQ15),Datos!AQ15," - ")</f>
        <v>4</v>
      </c>
      <c r="F15" s="229">
        <f>IF(ISNUMBER(AA15+W15-Datos!J15-K15),AA15+W15-Datos!J15-K15," - ")</f>
        <v>6453</v>
      </c>
      <c r="G15" s="342">
        <f>IF(ISNUMBER(IF(D_I="SI",Datos!I15,Datos!I15+Datos!AC15)),IF(D_I="SI",Datos!I15,Datos!I15+Datos!AC15)," - ")</f>
        <v>6440</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24</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f>IF(ISNUMBER(IF(D_I="SI",Datos!K15,Datos!K15+Datos!AE15)),IF(D_I="SI",Datos!K15,Datos!K15+Datos!AE15)," - ")</f>
        <v>3637</v>
      </c>
      <c r="X15" s="230">
        <f>IF(ISNUMBER(Datos!Q15),Datos!Q15," - ")</f>
        <v>55</v>
      </c>
      <c r="Y15" s="343">
        <f>SUM(W15)</f>
        <v>3637</v>
      </c>
      <c r="Z15" s="344" t="str">
        <f>IF(ISNUMBER(Datos!CC15),Datos!CC15," - ")</f>
        <v xml:space="preserve"> - </v>
      </c>
      <c r="AA15" s="341">
        <f>IF(ISNUMBER(IF(D_I="SI",Datos!L15,Datos!L15+Datos!AF15)),IF(D_I="SI",Datos!L15,Datos!L15+Datos!AF15)," - ")</f>
        <v>6639</v>
      </c>
      <c r="AB15" s="343">
        <f>IF(ISNUMBER(Datos!R15),Datos!R15," - ")</f>
        <v>326</v>
      </c>
      <c r="AC15" s="343">
        <f t="shared" ref="AC15:AC17" si="6">IF(ISNUMBER(AA15+AB15),AA15+AB15," - ")</f>
        <v>6965</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f>IF(ISNUMBER(Datos!M15),Datos!M15," - ")</f>
        <v>342</v>
      </c>
      <c r="AJ15" s="235" t="str">
        <f>IF(ISNUMBER(Datos!BW15),Datos!BW15," - ")</f>
        <v xml:space="preserve"> - </v>
      </c>
      <c r="AK15" s="236" t="str">
        <f>IF(ISNUMBER(Datos!BX15),Datos!BX15," - ")</f>
        <v xml:space="preserve"> - </v>
      </c>
      <c r="AL15" s="247">
        <f>IF(ISNUMBER(NºAsuntos!G15/NºAsuntos!E15),NºAsuntos!G15/NºAsuntos!E15," - ")</f>
        <v>0.95134710959979074</v>
      </c>
      <c r="AM15" s="264">
        <f>IF(ISNUMBER(((NºAsuntos!I15/NºAsuntos!G15)*11)/factor_trimestre),((NºAsuntos!I15/NºAsuntos!G15)*11)/factor_trimestre," - ")</f>
        <v>3.6508111080560899</v>
      </c>
      <c r="AN15" s="248">
        <f>IF(ISNUMBER('Resol  Asuntos'!D15/NºAsuntos!G15),'Resol  Asuntos'!D15/NºAsuntos!G15," - ")</f>
        <v>9.4033544129777283E-2</v>
      </c>
      <c r="AO15" s="249">
        <f>IF(ISNUMBER((NºAsuntos!C15+NºAsuntos!E15)/NºAsuntos!G15),(NºAsuntos!C15+NºAsuntos!E15)/NºAsuntos!G15," - ")</f>
        <v>2.82183117954358</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0</v>
      </c>
      <c r="B16" s="279" t="s">
        <v>400</v>
      </c>
      <c r="C16" s="164" t="str">
        <f>Datos!A16</f>
        <v xml:space="preserve">Jdos. 1ª Instª. e Instr.                        </v>
      </c>
      <c r="D16" s="164"/>
      <c r="E16" s="1201">
        <f>IF(ISNUMBER(Datos!AQ16),Datos!AQ16," - ")</f>
        <v>0</v>
      </c>
      <c r="F16" s="229" t="str">
        <f>IF(ISNUMBER(AA16+W16-Datos!J16-K16),AA16+W16-Datos!J16-K16," - ")</f>
        <v xml:space="preserve"> - </v>
      </c>
      <c r="G16" s="342" t="str">
        <f>IF(ISNUMBER(IF(D_I="SI",Datos!I16,Datos!I16+Datos!AC16)),IF(D_I="SI",Datos!I16,Datos!I16+Datos!AC16)," - ")</f>
        <v xml:space="preserve"> - </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t="str">
        <f>IF(ISNUMBER(IF(D_I="SI",Datos!K16,Datos!K16+Datos!AE16)),IF(D_I="SI",Datos!K16,Datos!K16+Datos!AE16)," - ")</f>
        <v xml:space="preserve"> - </v>
      </c>
      <c r="X16" s="230" t="str">
        <f>IF(ISNUMBER(Datos!Q16),Datos!Q16," - ")</f>
        <v xml:space="preserve"> - </v>
      </c>
      <c r="Y16" s="343">
        <f t="shared" ref="Y16:Y17" si="7">SUM(W16:X16)</f>
        <v>0</v>
      </c>
      <c r="Z16" s="344" t="str">
        <f>IF(ISNUMBER(Datos!CC16),Datos!CC16," - ")</f>
        <v xml:space="preserve"> - </v>
      </c>
      <c r="AA16" s="341" t="str">
        <f>IF(ISNUMBER(IF(D_I="SI",Datos!L16,Datos!L16+Datos!AF16)),IF(D_I="SI",Datos!L16,Datos!L16+Datos!AF16)," - ")</f>
        <v xml:space="preserve"> - </v>
      </c>
      <c r="AB16" s="343" t="str">
        <f>IF(ISNUMBER(Datos!R16),Datos!R16," - ")</f>
        <v xml:space="preserve"> - </v>
      </c>
      <c r="AC16" s="343" t="str">
        <f t="shared" si="6"/>
        <v xml:space="preserve"> - </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t="str">
        <f>IF(ISNUMBER(Datos!M16),Datos!M16," - ")</f>
        <v xml:space="preserve"> - </v>
      </c>
      <c r="AJ16" s="235" t="str">
        <f>IF(ISNUMBER(Datos!BW16),Datos!BW16," - ")</f>
        <v xml:space="preserve"> - </v>
      </c>
      <c r="AK16" s="236" t="str">
        <f>IF(ISNUMBER(Datos!BX16),Datos!BX16," - ")</f>
        <v xml:space="preserve"> - </v>
      </c>
      <c r="AL16" s="247" t="str">
        <f>IF(ISNUMBER(NºAsuntos!G16/NºAsuntos!E16),NºAsuntos!G16/NºAsuntos!E16," - ")</f>
        <v xml:space="preserve"> - </v>
      </c>
      <c r="AM16" s="264" t="str">
        <f>IF(ISNUMBER(((NºAsuntos!I16/NºAsuntos!G16)*11)/factor_trimestre),((NºAsuntos!I16/NºAsuntos!G16)*11)/factor_trimestre," - ")</f>
        <v xml:space="preserve"> - </v>
      </c>
      <c r="AN16" s="248" t="str">
        <f>IF(ISNUMBER('Resol  Asuntos'!D16/NºAsuntos!G16),'Resol  Asuntos'!D16/NºAsuntos!G16," - ")</f>
        <v xml:space="preserve"> - </v>
      </c>
      <c r="AO16" s="249" t="str">
        <f>IF(ISNUMBER((NºAsuntos!C16+NºAsuntos!E16)/NºAsuntos!G16),(NºAsuntos!C16+NºAsuntos!E16)/NºAsuntos!G16," - ")</f>
        <v xml:space="preserve"> - </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94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291</v>
      </c>
      <c r="X17" s="230">
        <f>IF(ISNUMBER(Datos!Q17),Datos!Q17," - ")</f>
        <v>1</v>
      </c>
      <c r="Y17" s="343">
        <f t="shared" si="7"/>
        <v>292</v>
      </c>
      <c r="Z17" s="344" t="str">
        <f>IF(ISNUMBER(Datos!CC17),Datos!CC17," - ")</f>
        <v xml:space="preserve"> - </v>
      </c>
      <c r="AA17" s="341">
        <f>IF(ISNUMBER(Datos!L17),Datos!L17,"-")</f>
        <v>131</v>
      </c>
      <c r="AB17" s="343">
        <f>IF(ISNUMBER(Datos!R17),Datos!R17," - ")</f>
        <v>4</v>
      </c>
      <c r="AC17" s="343">
        <f t="shared" si="6"/>
        <v>135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22</v>
      </c>
      <c r="AJ17" s="235" t="str">
        <f>IF(ISNUMBER(Datos!BW17),Datos!BW17," - ")</f>
        <v xml:space="preserve"> - </v>
      </c>
      <c r="AK17" s="236" t="str">
        <f>IF(ISNUMBER(Datos!BX17),Datos!BX17," - ")</f>
        <v xml:space="preserve"> - </v>
      </c>
      <c r="AL17" s="247">
        <f>IF(ISNUMBER(NºAsuntos!G17/NºAsuntos!E17),NºAsuntos!G17/NºAsuntos!E17," - ")</f>
        <v>0.88719512195121952</v>
      </c>
      <c r="AM17" s="264">
        <f>IF(ISNUMBER(((NºAsuntos!I17/NºAsuntos!G17)*11)/factor_trimestre),((NºAsuntos!I17/NºAsuntos!G17)*11)/factor_trimestre," - ")</f>
        <v>0.90034364261168387</v>
      </c>
      <c r="AN17" s="248">
        <f>IF(ISNUMBER('Resol  Asuntos'!D17/NºAsuntos!G17),'Resol  Asuntos'!D17/NºAsuntos!G17," - ")</f>
        <v>7.560137457044673E-2</v>
      </c>
      <c r="AO17" s="249">
        <f>IF(ISNUMBER((NºAsuntos!C17+NºAsuntos!E17)/NºAsuntos!G17),(NºAsuntos!C17+NºAsuntos!E17)/NºAsuntos!G17," - ")</f>
        <v>1.4501718213058419</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5</v>
      </c>
      <c r="F18" s="1011">
        <f>SUBTOTAL(9,F14:F17)</f>
        <v>6453</v>
      </c>
      <c r="G18" s="1012">
        <f>SUBTOTAL(9,G15:G17)</f>
        <v>6534</v>
      </c>
      <c r="H18" s="1011">
        <f t="shared" ref="H18:O18" si="10">SUBTOTAL(9,H14:H17)</f>
        <v>0</v>
      </c>
      <c r="I18" s="1013">
        <f t="shared" si="10"/>
        <v>0</v>
      </c>
      <c r="J18" s="1013">
        <f t="shared" si="10"/>
        <v>0</v>
      </c>
      <c r="K18" s="1013">
        <f t="shared" si="10"/>
        <v>0</v>
      </c>
      <c r="L18" s="1013">
        <f t="shared" si="10"/>
        <v>24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3928</v>
      </c>
      <c r="X18" s="1013">
        <f t="shared" si="11"/>
        <v>56</v>
      </c>
      <c r="Y18" s="1014">
        <f t="shared" si="11"/>
        <v>3929</v>
      </c>
      <c r="Z18" s="1014">
        <f t="shared" si="11"/>
        <v>0</v>
      </c>
      <c r="AA18" s="1014">
        <f t="shared" si="11"/>
        <v>6770</v>
      </c>
      <c r="AB18" s="1014">
        <f t="shared" si="11"/>
        <v>330</v>
      </c>
      <c r="AC18" s="1014">
        <f t="shared" si="11"/>
        <v>7100</v>
      </c>
      <c r="AD18" s="1014">
        <f t="shared" si="11"/>
        <v>0</v>
      </c>
      <c r="AE18" s="1018">
        <f t="shared" si="11"/>
        <v>0</v>
      </c>
      <c r="AF18" s="1011">
        <f t="shared" si="11"/>
        <v>0</v>
      </c>
      <c r="AG18" s="1019">
        <f t="shared" si="11"/>
        <v>0</v>
      </c>
      <c r="AH18" s="1016">
        <f t="shared" si="11"/>
        <v>0</v>
      </c>
      <c r="AI18" s="1011">
        <f t="shared" si="11"/>
        <v>364</v>
      </c>
      <c r="AJ18" s="1013">
        <f t="shared" si="11"/>
        <v>0</v>
      </c>
      <c r="AK18" s="1016">
        <f t="shared" si="11"/>
        <v>0</v>
      </c>
      <c r="AL18" s="1020">
        <f>IF(ISNUMBER(NºAsuntos!G18/NºAsuntos!E18),NºAsuntos!G18/NºAsuntos!E18," - ")</f>
        <v>0.94627800529992778</v>
      </c>
      <c r="AM18" s="1020">
        <f>IF(ISNUMBER(((NºAsuntos!I18/NºAsuntos!G18)*11)/factor_trimestre),((NºAsuntos!I18/NºAsuntos!G18)*11)/factor_trimestre," - ")</f>
        <v>3.4470468431771892</v>
      </c>
      <c r="AN18" s="1021">
        <f>IF(ISNUMBER('Resol  Asuntos'!D18/NºAsuntos!G18),'Resol  Asuntos'!D18/NºAsuntos!G18," - ")</f>
        <v>9.2668024439918534E-2</v>
      </c>
      <c r="AO18" s="1022">
        <f>IF(ISNUMBER((NºAsuntos!C18+NºAsuntos!E18)/NºAsuntos!G18),(NºAsuntos!C18+NºAsuntos!E18)/NºAsuntos!G18," - ")</f>
        <v>2.7202138492871692</v>
      </c>
      <c r="AP18" s="1023" t="str">
        <f t="shared" si="2"/>
        <v xml:space="preserve"> - </v>
      </c>
      <c r="AQ18" s="1023">
        <f>IF(ISNUMBER((H18-W18+K18)/(F18)),(H18-W18+K18)/(F18)," - ")</f>
        <v>-0.60870912753757944</v>
      </c>
      <c r="AR18" s="1024">
        <f>IF(ISNUMBER((Datos!P18-Datos!Q18)/(Datos!R18-Datos!P18+Datos!Q18)),(Datos!P18-Datos!Q18)/(Datos!R18-Datos!P18+Datos!Q18)," - ")</f>
        <v>-8.8397790055248615E-2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6516</v>
      </c>
      <c r="G19" s="967">
        <f t="shared" si="13"/>
        <v>6597</v>
      </c>
      <c r="H19" s="966">
        <f t="shared" si="13"/>
        <v>0</v>
      </c>
      <c r="I19" s="968">
        <f t="shared" si="13"/>
        <v>0</v>
      </c>
      <c r="J19" s="968">
        <f t="shared" si="13"/>
        <v>0</v>
      </c>
      <c r="K19" s="1027">
        <f t="shared" si="13"/>
        <v>0</v>
      </c>
      <c r="L19" s="968">
        <f t="shared" si="13"/>
        <v>932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3950</v>
      </c>
      <c r="X19" s="967">
        <f t="shared" si="14"/>
        <v>1386</v>
      </c>
      <c r="Y19" s="974">
        <f t="shared" si="14"/>
        <v>5281</v>
      </c>
      <c r="Z19" s="974">
        <f t="shared" si="14"/>
        <v>0</v>
      </c>
      <c r="AA19" s="974">
        <f t="shared" si="14"/>
        <v>6848</v>
      </c>
      <c r="AB19" s="974">
        <f t="shared" si="14"/>
        <v>14978</v>
      </c>
      <c r="AC19" s="974">
        <f t="shared" si="14"/>
        <v>7274</v>
      </c>
      <c r="AD19" s="974">
        <f t="shared" si="14"/>
        <v>0</v>
      </c>
      <c r="AE19" s="976">
        <f t="shared" si="14"/>
        <v>0</v>
      </c>
      <c r="AF19" s="977">
        <f t="shared" si="14"/>
        <v>0</v>
      </c>
      <c r="AG19" s="978">
        <f t="shared" si="14"/>
        <v>0</v>
      </c>
      <c r="AH19" s="976">
        <f t="shared" si="14"/>
        <v>0</v>
      </c>
      <c r="AI19" s="966">
        <f t="shared" si="14"/>
        <v>1017</v>
      </c>
      <c r="AJ19" s="966">
        <f t="shared" si="14"/>
        <v>0</v>
      </c>
      <c r="AK19" s="976">
        <f t="shared" si="14"/>
        <v>0</v>
      </c>
      <c r="AL19" s="1030">
        <f>IF(ISNUMBER(NºAsuntos!G19/NºAsuntos!E19),NºAsuntos!G19/NºAsuntos!E19," - ")</f>
        <v>0.89845392702535565</v>
      </c>
      <c r="AM19" s="1031">
        <f>IF(ISNUMBER(((NºAsuntos!I19/NºAsuntos!G19)*11)/factor_trimestre),((NºAsuntos!I19/NºAsuntos!G19)*11)/factor_trimestre," - ")</f>
        <v>4.7439427312775333</v>
      </c>
      <c r="AN19" s="1031">
        <f>IF(ISNUMBER('Resol  Asuntos'!D19/NºAsuntos!G19),'Resol  Asuntos'!D19/NºAsuntos!G19," - ")</f>
        <v>0.14000550660792951</v>
      </c>
      <c r="AO19" s="1032">
        <f>IF(ISNUMBER((NºAsuntos!C19+NºAsuntos!E19)/NºAsuntos!G19),(NºAsuntos!C19+NºAsuntos!E19)/NºAsuntos!G19," - ")</f>
        <v>3.3670154185022025</v>
      </c>
      <c r="AP19" s="1033" t="str">
        <f t="shared" si="2"/>
        <v xml:space="preserve"> - </v>
      </c>
      <c r="AQ19" s="1034">
        <f>IF(OR(ISNUMBER(FIND("01",Criterios!A8,1)),ISNUMBER(FIND("02",Criterios!A8,1)),ISNUMBER(FIND("03",Criterios!A8,1)),ISNUMBER(FIND("04",Criterios!A8,1))),(I19-W19+K19)/(F19-K19),(H19-W19+K19)/(F19-K19))</f>
        <v>-0.60620012277470836</v>
      </c>
      <c r="AR19" s="1035">
        <f>IF(ISNUMBER((Datos!P19-Datos!Q19)/(Datos!R19-Datos!P19+Datos!Q19)),(Datos!P19-Datos!Q19)/(Datos!R19-Datos!P19+Datos!Q19)," - ")</f>
        <v>-2.9419388284085017E-2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2638.8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3.844187531556932</v>
      </c>
      <c r="F21" s="256">
        <f>IF(ISNUMBER(STDEV(F8:F18)),STDEV(F8:F18),"-")</f>
        <v>3689.2682201217085</v>
      </c>
      <c r="G21" s="257">
        <f>IF(ISNUMBER(STDEV(G8:G18)),STDEV(G8:G18),"-")</f>
        <v>3513.0899077592649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2016.2218379930321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262.85031047020988</v>
      </c>
      <c r="AJ21" s="256">
        <f t="shared" si="18"/>
        <v>0</v>
      </c>
      <c r="AK21" s="258">
        <f t="shared" si="18"/>
        <v>0</v>
      </c>
      <c r="AL21" s="253">
        <f t="shared" si="18"/>
        <v>0.14868937727237136</v>
      </c>
      <c r="AM21" s="254">
        <f t="shared" si="18"/>
        <v>2.1987505074142311</v>
      </c>
      <c r="AN21" s="254">
        <f t="shared" si="18"/>
        <v>0.14791653635179991</v>
      </c>
      <c r="AO21" s="255">
        <f t="shared" si="18"/>
        <v>1.0978393185241428</v>
      </c>
      <c r="AP21" s="295" t="str">
        <f t="shared" si="18"/>
        <v>-</v>
      </c>
      <c r="AQ21" s="296">
        <f t="shared" si="18"/>
        <v>0.18349617429476239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9YJPwoMq1Gp0+/QHfemEr6RMtFK5797za00RQmlx412WZCMh3toy2L5A8aRgqq2jLjNd6Wugz4CYw7cTKYWmmQ==" saltValue="oygVcSUbSUoIbQ0nXDT7x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GRANOLLERS</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f>IF(ISNUMBER((Datos!M9-Datos!W9)/Datos!W9),(Datos!M9-Datos!W9)/Datos!W9," - ")</f>
        <v>6.9548872180451124E-2</v>
      </c>
      <c r="I9" s="359">
        <f>IF(ISNUMBER((Tasas!C9-Datos!BE9)/Datos!BE9),(Tasas!C9-Datos!BE9)/Datos!BE9," - ")</f>
        <v>-0.16613862690584213</v>
      </c>
      <c r="J9" s="358">
        <f>IF(ISNUMBER((Tasas!D9-Datos!BF9)/Datos!BF9),(Tasas!D9-Datos!BF9)/Datos!BF9," - ")</f>
        <v>-0.44320635055758917</v>
      </c>
      <c r="K9" s="360">
        <f>IF(ISNUMBER((Tasas!E9-Datos!BG9)/Datos!BG9),(Tasas!E9-Datos!BG9)/Datos!BG9," - ")</f>
        <v>-0.13378089098969159</v>
      </c>
      <c r="M9" t="e">
        <f>IF(Monitorios="SI",Datos!CE9,0)</f>
        <v>#REF!</v>
      </c>
      <c r="N9" t="e">
        <f>IF(Monitorios="SI",Datos!CF9,0)</f>
        <v>#REF!</v>
      </c>
      <c r="O9" t="e">
        <f>IF(Monitorios="SI",Datos!CG9,0)</f>
        <v>#REF!</v>
      </c>
      <c r="P9" t="e">
        <f>IF(Monitorios="SI",Datos!CH9,0)</f>
        <v>#REF!</v>
      </c>
      <c r="Q9">
        <f>IF(J_V="SI",0,Datos!AG9)</f>
        <v>74</v>
      </c>
      <c r="R9">
        <f>IF(J_V="SI",0,Datos!AH9)</f>
        <v>126</v>
      </c>
      <c r="S9">
        <f>IF(J_V="SI",0,Datos!AI9)</f>
        <v>106</v>
      </c>
      <c r="T9">
        <f>IF(J_V="SI",0,Datos!AJ9)</f>
        <v>94</v>
      </c>
    </row>
    <row r="10" spans="2:20" ht="14.25">
      <c r="B10" s="279" t="s">
        <v>249</v>
      </c>
      <c r="C10" s="7" t="str">
        <f>Datos!A10</f>
        <v>Jdos. Violencia contra la mujer</v>
      </c>
      <c r="D10" s="361">
        <f>IF(ISNUMBER((Datos!I10-Datos!S10)/Datos!S10),(Datos!I10-Datos!S10)/Datos!S10," - ")</f>
        <v>-0.26744186046511625</v>
      </c>
      <c r="E10" s="357">
        <f>IF(ISNUMBER((Datos!J10-Datos!T10)/Datos!T10),(Datos!J10-Datos!T10)/Datos!T10," - ")</f>
        <v>0.27586206896551724</v>
      </c>
      <c r="F10" s="357">
        <f>IF(ISNUMBER((Datos!K10-Datos!U10)/Datos!U10),(Datos!K10-Datos!U10)/Datos!U10," - ")</f>
        <v>-0.42105263157894735</v>
      </c>
      <c r="G10" s="358">
        <f>IF(ISNUMBER((Datos!L10-Datos!V10)/Datos!V10),(Datos!L10-Datos!V10)/Datos!V10," - ")</f>
        <v>1.2987012987012988E-2</v>
      </c>
      <c r="H10" s="234">
        <f>IF(ISNUMBER((Datos!M10-Datos!W10)/Datos!W10),(Datos!M10-Datos!W10)/Datos!W10," - ")</f>
        <v>0</v>
      </c>
      <c r="I10" s="359">
        <f>IF(ISNUMBER((Tasas!C10-Datos!BE10)/Datos!BE10),(Tasas!C10-Datos!BE10)/Datos!BE10," - ")</f>
        <v>0.74970484061393161</v>
      </c>
      <c r="J10" s="358">
        <f>IF(ISNUMBER((Tasas!D10-Datos!BF10)/Datos!BF10),(Tasas!D10-Datos!BF10)/Datos!BF10," - ")</f>
        <v>0.72727272727272718</v>
      </c>
      <c r="K10" s="360">
        <f>IF(ISNUMBER((Tasas!E10-Datos!BG10)/Datos!BG10),(Tasas!E10-Datos!BG10)/Datos!BG10," - ")</f>
        <v>0.50197628458498045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f>IF(ISNUMBER((Datos!M11-Datos!W11)/Datos!W11),(Datos!M11-Datos!W11)/Datos!W11," - ")</f>
        <v>-0.58522727272727271</v>
      </c>
      <c r="I11" s="359">
        <f>IF(ISNUMBER((Tasas!C11-Datos!BE11)/Datos!BE11),(Tasas!C11-Datos!BE11)/Datos!BE11," - ")</f>
        <v>-0.252937297759326</v>
      </c>
      <c r="J11" s="358">
        <f>IF(ISNUMBER((Tasas!D11-Datos!BF11)/Datos!BF11),(Tasas!D11-Datos!BF11)/Datos!BF11," - ")</f>
        <v>-0.75013085399449042</v>
      </c>
      <c r="K11" s="360">
        <f>IF(ISNUMBER((Tasas!E11-Datos!BG11)/Datos!BG11),(Tasas!E11-Datos!BG11)/Datos!BG11," - ")</f>
        <v>-0.14757607858243449</v>
      </c>
      <c r="M11" t="e">
        <f>IF(Monitorios="SI",Datos!CE11,0)</f>
        <v>#REF!</v>
      </c>
      <c r="N11" t="e">
        <f>IF(Monitorios="SI",Datos!CF11,0)</f>
        <v>#REF!</v>
      </c>
      <c r="O11" t="e">
        <f>IF(Monitorios="SI",Datos!CG11,0)</f>
        <v>#REF!</v>
      </c>
      <c r="P11" t="e">
        <f>IF(Monitorios="SI",Datos!CH11,0)</f>
        <v>#REF!</v>
      </c>
      <c r="Q11">
        <f>IF(J_V="SI",0,Datos!AG11)</f>
        <v>63</v>
      </c>
      <c r="R11">
        <f>IF(J_V="SI",0,Datos!AH11)</f>
        <v>91</v>
      </c>
      <c r="S11">
        <f>IF(J_V="SI",0,Datos!AI11)</f>
        <v>101</v>
      </c>
      <c r="T11">
        <f>IF(J_V="SI",0,Datos!AJ11)</f>
        <v>151</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t="str">
        <f>IF(ISNUMBER((Datos!M12-Datos!W12)/Datos!W12),(Datos!M12-Datos!W12)/Datos!W12," - ")</f>
        <v xml:space="preserve"> - </v>
      </c>
      <c r="I12" s="359" t="str">
        <f>IF(ISNUMBER((Tasas!C12-Datos!BE12)/Datos!BE12),(Tasas!C12-Datos!BE12)/Datos!BE12," - ")</f>
        <v xml:space="preserve"> - </v>
      </c>
      <c r="J12" s="358" t="str">
        <f>IF(ISNUMBER((Tasas!D12-Datos!BF12)/Datos!BF12),(Tasas!D12-Datos!BF12)/Datos!BF12," - ")</f>
        <v xml:space="preserve"> - </v>
      </c>
      <c r="K12" s="36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-9.1794158553546598E-2</v>
      </c>
      <c r="I13" s="366">
        <f>IF(ISNUMBER((Tasas!C13-Datos!BE13)/Datos!BE13),(Tasas!C13-Datos!BE13)/Datos!BE13," - ")</f>
        <v>-0.1690683361296749</v>
      </c>
      <c r="J13" s="364">
        <f>IF(ISNUMBER((Tasas!D13-Datos!BF13)/Datos!BF13),(Tasas!D13-Datos!BF13)/Datos!BF13," - ")</f>
        <v>-0.50690061284305887</v>
      </c>
      <c r="K13" s="367">
        <f>IF(ISNUMBER((Tasas!E13-Datos!BG13)/Datos!BG13),(Tasas!E13-Datos!BG13)/Datos!BG13," - ")</f>
        <v>-0.12826372786437812</v>
      </c>
      <c r="M13" t="e">
        <f>IF(Monitorios="SI",Datos!CE13,0)</f>
        <v>#REF!</v>
      </c>
      <c r="N13" t="e">
        <f>IF(Monitorios="SI",Datos!CF13,0)</f>
        <v>#REF!</v>
      </c>
      <c r="O13" t="e">
        <f>IF(Monitorios="SI",Datos!CG13,0)</f>
        <v>#REF!</v>
      </c>
      <c r="P13" t="e">
        <f>IF(Monitorios="SI",Datos!CH13,0)</f>
        <v>#REF!</v>
      </c>
      <c r="Q13">
        <f>IF(J_V="SI",0,Datos!AG13)</f>
        <v>137</v>
      </c>
      <c r="R13">
        <f>IF(J_V="SI",0,Datos!AH13)</f>
        <v>217</v>
      </c>
      <c r="S13">
        <f>IF(J_V="SI",0,Datos!AI13)</f>
        <v>207</v>
      </c>
      <c r="T13">
        <f>IF(J_V="SI",0,Datos!AJ13)</f>
        <v>245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f>IF(ISNUMBER(
   IF(D_I="SI",(Datos!I15-Datos!S15)/Datos!S15,(Datos!I15+Datos!AC15-(Datos!S15+Datos!AK15))/(Datos!S15+Datos!AK15))
     ),IF(D_I="SI",(Datos!I15-Datos!S15)/Datos!S15,(Datos!I15+Datos!AC15-(Datos!S15+Datos!AK15))/(Datos!S15+Datos!AK15))," - ")</f>
        <v>0.21647147714393652</v>
      </c>
      <c r="E15" s="357">
        <f>IF(ISNUMBER(
   IF(D_I="SI",(Datos!J15-Datos!T15)/Datos!T15,(Datos!J15+Datos!AD15-(Datos!T15+Datos!AL15))/(Datos!T15+Datos!AL15))
     ),IF(D_I="SI",(Datos!J15-Datos!T15)/Datos!T15,(Datos!J15+Datos!AD15-(Datos!T15+Datos!AL15))/(Datos!T15+Datos!AL15))," - ")</f>
        <v>-1.1122607346094155E-2</v>
      </c>
      <c r="F15" s="357">
        <f>IF(ISNUMBER(
   IF(D_I="SI",(Datos!K15-Datos!U15)/Datos!U15,(Datos!K15+Datos!AE15-(Datos!U15+Datos!AM15))/(Datos!U15+Datos!AM15))
     ),IF(D_I="SI",(Datos!K15-Datos!U15)/Datos!U15,(Datos!K15+Datos!AE15-(Datos!U15+Datos!AM15))/(Datos!U15+Datos!AM15))," - ")</f>
        <v>0.10884146341463415</v>
      </c>
      <c r="G15" s="358">
        <f>IF(ISNUMBER(
   IF(D_I="SI",(Datos!L15-Datos!V15)/Datos!V15,(Datos!L15+Datos!AF15-(Datos!V15+Datos!AN15))/(Datos!V15+Datos!AN15))
     ),IF(D_I="SI",(Datos!L15-Datos!V15)/Datos!V15,(Datos!L15+Datos!AF15-(Datos!V15+Datos!AN15))/(Datos!V15+Datos!AN15))," - ")</f>
        <v>0.12354036215941784</v>
      </c>
      <c r="H15" s="234">
        <f>IF(ISNUMBER((Datos!M15-Datos!W15)/Datos!W15),(Datos!M15-Datos!W15)/Datos!W15," - ")</f>
        <v>0.19163763066202091</v>
      </c>
      <c r="I15" s="359">
        <f>IF(ISNUMBER((Tasas!C15-Datos!BE15)/Datos!BE15),(Tasas!C15-Datos!BE15)/Datos!BE15," - ")</f>
        <v>1.325608685259573E-2</v>
      </c>
      <c r="J15" s="358">
        <f>IF(ISNUMBER((Tasas!D15-Datos!BF15)/Datos!BF15),(Tasas!D15-Datos!BF15)/Datos!BF15," - ")</f>
        <v>7.4669075768883306E-2</v>
      </c>
      <c r="K15" s="360">
        <f>IF(ISNUMBER((Tasas!E15-Datos!BG15)/Datos!BG15),(Tasas!E15-Datos!BG15)/Datos!BG15," - ")</f>
        <v>1.0437365600757965E-2</v>
      </c>
    </row>
    <row r="16" spans="2:20" ht="14.25">
      <c r="B16" s="279" t="s">
        <v>400</v>
      </c>
      <c r="C16" s="7" t="str">
        <f>Datos!A16</f>
        <v xml:space="preserve">Jdos. 1ª Instª. e Instr.                        </v>
      </c>
      <c r="D16" s="361" t="str">
        <f>IF(ISNUMBER(
   IF(D_I="SI",(Datos!I16-Datos!S16)/Datos!S16,(Datos!I16+Datos!AC16-(Datos!S16+Datos!AK16))/(Datos!S16+Datos!AK16))
     ),IF(D_I="SI",(Datos!I16-Datos!S16)/Datos!S16,(Datos!I16+Datos!AC16-(Datos!S16+Datos!AK16))/(Datos!S16+Datos!AK16))," - ")</f>
        <v xml:space="preserve"> - </v>
      </c>
      <c r="E16" s="357" t="str">
        <f>IF(ISNUMBER(
   IF(D_I="SI",(Datos!J16-Datos!T16)/Datos!T16,(Datos!J16+Datos!AD16-(Datos!T16+Datos!AL16))/(Datos!T16+Datos!AL16))
     ),IF(D_I="SI",(Datos!J16-Datos!T16)/Datos!T16,(Datos!J16+Datos!AD16-(Datos!T16+Datos!AL16))/(Datos!T16+Datos!AL16))," - ")</f>
        <v xml:space="preserve"> - </v>
      </c>
      <c r="F16" s="357" t="str">
        <f>IF(ISNUMBER(
   IF(D_I="SI",(Datos!K16-Datos!U16)/Datos!U16,(Datos!K16+Datos!AE16-(Datos!U16+Datos!AM16))/(Datos!U16+Datos!AM16))
     ),IF(D_I="SI",(Datos!K16-Datos!U16)/Datos!U16,(Datos!K16+Datos!AE16-(Datos!U16+Datos!AM16))/(Datos!U16+Datos!AM16))," - ")</f>
        <v xml:space="preserve"> - </v>
      </c>
      <c r="G16" s="358" t="str">
        <f>IF(ISNUMBER(
   IF(D_I="SI",(Datos!L16-Datos!V16)/Datos!V16,(Datos!L16+Datos!AF16-(Datos!V16+Datos!AN16))/(Datos!V16+Datos!AN16))
     ),IF(D_I="SI",(Datos!L16-Datos!V16)/Datos!V16,(Datos!L16+Datos!AF16-(Datos!V16+Datos!AN16))/(Datos!V16+Datos!AN16))," - ")</f>
        <v xml:space="preserve"> - </v>
      </c>
      <c r="H16" s="234" t="str">
        <f>IF(ISNUMBER((Datos!M16-Datos!W16)/Datos!W16),(Datos!M16-Datos!W16)/Datos!W16," - ")</f>
        <v xml:space="preserve"> - </v>
      </c>
      <c r="I16" s="359" t="str">
        <f>IF(ISNUMBER((Tasas!C16-Datos!BE16)/Datos!BE16),(Tasas!C16-Datos!BE16)/Datos!BE16," - ")</f>
        <v xml:space="preserve"> - </v>
      </c>
      <c r="J16" s="358" t="str">
        <f>IF(ISNUMBER((Tasas!D16-Datos!BF16)/Datos!BF16),(Tasas!D16-Datos!BF16)/Datos!BF16," - ")</f>
        <v xml:space="preserve"> - </v>
      </c>
      <c r="K16" s="360" t="str">
        <f>IF(ISNUMBER((Tasas!E16-Datos!BG16)/Datos!BG16),(Tasas!E16-Datos!BG16)/Datos!BG16," - ")</f>
        <v xml:space="preserve"> - </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-0.7151515151515152</v>
      </c>
      <c r="E17" s="357">
        <f>IF(ISNUMBER(
   IF(D_I="SI",(Datos!J17-Datos!T17)/Datos!T17,(Datos!J17+Datos!AD17-(Datos!T17+Datos!AL17))/(Datos!T17+Datos!AL17))
     ),IF(D_I="SI",(Datos!J17-Datos!T17)/Datos!T17,(Datos!J17+Datos!AD17-(Datos!T17+Datos!AL17))/(Datos!T17+Datos!AL17))," - ")</f>
        <v>0.18840579710144928</v>
      </c>
      <c r="F17" s="357">
        <f>IF(ISNUMBER(
   IF(D_I="SI",(Datos!K17-Datos!U17)/Datos!U17,(Datos!K17+Datos!AE17-(Datos!U17+Datos!AM17))/(Datos!U17+Datos!AM17))
     ),IF(D_I="SI",(Datos!K17-Datos!U17)/Datos!U17,(Datos!K17+Datos!AE17-(Datos!U17+Datos!AM17))/(Datos!U17+Datos!AM17))," - ")</f>
        <v>5.8181818181818182E-2</v>
      </c>
      <c r="G17" s="358">
        <f>IF(ISNUMBER(
   IF(D_I="SI",(Datos!L17-Datos!V17)/Datos!V17,(Datos!L17+Datos!AF17-(Datos!V17+Datos!AN17))/(Datos!V17+Datos!AN17))
     ),IF(D_I="SI",(Datos!L17-Datos!V17)/Datos!V17,(Datos!L17+Datos!AF17-(Datos!V17+Datos!AN17))/(Datos!V17+Datos!AN17))," - ")</f>
        <v>-0.60422960725075525</v>
      </c>
      <c r="H17" s="234">
        <f>IF(ISNUMBER((Datos!M17-Datos!W17)/Datos!W17),(Datos!M17-Datos!W17)/Datos!W17," - ")</f>
        <v>-0.12</v>
      </c>
      <c r="I17" s="359">
        <f>IF(ISNUMBER((Tasas!C17-Datos!BE17)/Datos!BE17),(Tasas!C17-Datos!BE17)/Datos!BE17," - ")</f>
        <v>-0.62599017867339424</v>
      </c>
      <c r="J17" s="358">
        <f>IF(ISNUMBER((Tasas!D17-Datos!BF17)/Datos!BF17),(Tasas!D17-Datos!BF17)/Datos!BF17," - ")</f>
        <v>-0.16838487972508598</v>
      </c>
      <c r="K17" s="360">
        <f>IF(ISNUMBER((Tasas!E17-Datos!BG17)/Datos!BG17),(Tasas!E17-Datos!BG17)/Datos!BG17," - ")</f>
        <v>-0.34191872795526979</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0.16180654338549075</v>
      </c>
      <c r="E18" s="363">
        <f>IF(ISNUMBER(
   IF(D_I="SI",(Datos!J18-Datos!T18)/Datos!T18,(Datos!J18+Datos!AD18-(Datos!T18+Datos!AL18))/(Datos!T18+Datos!AL18))
     ),IF(D_I="SI",(Datos!J18-Datos!T18)/Datos!T18,(Datos!J18+Datos!AD18-(Datos!T18+Datos!AL18))/(Datos!T18+Datos!AL18))," - ")</f>
        <v>2.1728633510381457E-3</v>
      </c>
      <c r="F18" s="363">
        <f>IF(ISNUMBER(
   IF(D_I="SI",(Datos!K18-Datos!U18)/Datos!U18,(Datos!K18+Datos!AE18-(Datos!U18+Datos!AM18))/(Datos!U18+Datos!AM18))
     ),IF(D_I="SI",(Datos!K18-Datos!U18)/Datos!U18,(Datos!K18+Datos!AE18-(Datos!U18+Datos!AM18))/(Datos!U18+Datos!AM18))," - ")</f>
        <v>0.10492264416315049</v>
      </c>
      <c r="G18" s="364">
        <f>IF(ISNUMBER(
   IF(D_I="SI",(Datos!L18-Datos!V18)/Datos!V18,(Datos!L18+Datos!AF18-(Datos!V18+Datos!AN18))/(Datos!V18+Datos!AN18))
     ),IF(D_I="SI",(Datos!L18-Datos!V18)/Datos!V18,(Datos!L18+Datos!AF18-(Datos!V18+Datos!AN18))/(Datos!V18+Datos!AN18))," - ")</f>
        <v>8.4935897435897439E-2</v>
      </c>
      <c r="H18" s="365">
        <f>IF(ISNUMBER((Datos!M18-Datos!W18)/Datos!W18),(Datos!M18-Datos!W18)/Datos!W18," - ")</f>
        <v>0.16666666666666666</v>
      </c>
      <c r="I18" s="366">
        <f>IF(ISNUMBER((Tasas!C18-Datos!BE18)/Datos!BE18),(Tasas!C18-Datos!BE18)/Datos!BE18," - ")</f>
        <v>-1.8088819912267066E-2</v>
      </c>
      <c r="J18" s="364">
        <f>IF(ISNUMBER((Tasas!D18-Datos!BF18)/Datos!BF18),(Tasas!D18-Datos!BF18)/Datos!BF18," - ")</f>
        <v>5.588085539714862E-2</v>
      </c>
      <c r="K18" s="367">
        <f>IF(ISNUMBER((Tasas!E18-Datos!BG18)/Datos!BG18),(Tasas!E18-Datos!BG18)/Datos!BG18," - ")</f>
        <v>-9.793135959872374E-3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2.8261006091816868E-2</v>
      </c>
      <c r="E19" s="372">
        <f>IF(ISNUMBER(
   IF(J_V="SI",(Datos!J19-Datos!T19)/Datos!T19,(Datos!J19+Datos!Z19-(Datos!T19+Datos!AH19))/(Datos!T19+Datos!AH19))
     ),IF(J_V="SI",(Datos!J19-Datos!T19)/Datos!T19,(Datos!J19+Datos!Z19-(Datos!T19+Datos!AH19))/(Datos!T19+Datos!AH19))," - ")</f>
        <v>0.11286992429456297</v>
      </c>
      <c r="F19" s="372">
        <f>IF(ISNUMBER(
   IF(J_V="SI",(Datos!K19-Datos!U19)/Datos!U19,(Datos!K19+Datos!AA19-(Datos!U19+Datos!AI19))/(Datos!U19+Datos!AI19))
     ),IF(J_V="SI",(Datos!K19-Datos!U19)/Datos!U19,(Datos!K19+Datos!AA19-(Datos!U19+Datos!AI19))/(Datos!U19+Datos!AI19))," - ")</f>
        <v>0.13695413992800126</v>
      </c>
      <c r="G19" s="373">
        <f>IF(ISNUMBER(
   IF(J_V="SI",(Datos!L19-Datos!V19)/Datos!V19,(Datos!L19+Datos!AB19-(Datos!V19+Datos!AJ19))/(Datos!V19+Datos!AJ19))
     ),IF(J_V="SI",(Datos!L19-Datos!V19)/Datos!V19,(Datos!L19+Datos!AB19-(Datos!V19+Datos!AJ19))/(Datos!V19+Datos!AJ19))," - ")</f>
        <v>1.7479626786346993E-2</v>
      </c>
      <c r="H19" s="374">
        <f>IF(ISNUMBER((Datos!M19-Datos!W19)/Datos!W19),(Datos!M19-Datos!W19)/Datos!W19," - ")</f>
        <v>-1.3579049466537343E-2</v>
      </c>
      <c r="I19" s="371">
        <f>IF(ISNUMBER((Tasas!C19-Datos!BE19)/Datos!BE19),(Tasas!C19-Datos!BE19)/Datos!BE19," - ")</f>
        <v>-0.10508296592263609</v>
      </c>
      <c r="J19" s="372">
        <f>IF(ISNUMBER((Tasas!D19-Datos!BF19)/Datos!BF19),(Tasas!D19-Datos!BF19)/Datos!BF19," - ")</f>
        <v>-0.37752596957685342</v>
      </c>
      <c r="K19" s="373">
        <f>IF(ISNUMBER((Tasas!E19-Datos!BG19)/Datos!BG19),(Tasas!E19-Datos!BG19)/Datos!BG19," - ")</f>
        <v>-7.2284737415448899E-2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0.43386204956308622</v>
      </c>
      <c r="E21" s="282">
        <f t="shared" si="1"/>
        <v>0.14129922284866858</v>
      </c>
      <c r="F21" s="282">
        <f t="shared" si="1"/>
        <v>0.25688354398627861</v>
      </c>
      <c r="G21" s="283">
        <f t="shared" si="1"/>
        <v>0.34210665578713539</v>
      </c>
      <c r="H21" s="289">
        <f t="shared" si="1"/>
        <v>0.26305500632063578</v>
      </c>
      <c r="I21" s="281">
        <f t="shared" si="1"/>
        <v>0.41695907892780787</v>
      </c>
      <c r="J21" s="282">
        <f t="shared" si="1"/>
        <v>0.48923308961567252</v>
      </c>
      <c r="K21" s="283">
        <f t="shared" si="1"/>
        <v>0.26342916277817036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WFqaOkwQmjOdaAY5HwWWb65tOxGCTsLWhH3Xy1PvNzAnSSve9GFchVSbGfAiK3zOCQAQ1duMbt9G0JrMwOFBg==" saltValue="NxzhXNhcHZQbrDng8AYvH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2023-11-29T08:23:27Z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